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riff Revision 2025\5. Expenditure\"/>
    </mc:Choice>
  </mc:AlternateContent>
  <xr:revisionPtr revIDLastSave="0" documentId="13_ncr:1_{AFBBB2E4-102D-436C-AEA9-7E4C450F1C27}" xr6:coauthVersionLast="47" xr6:coauthVersionMax="47" xr10:uidLastSave="{00000000-0000-0000-0000-000000000000}"/>
  <bookViews>
    <workbookView xWindow="-110" yWindow="-110" windowWidth="19420" windowHeight="10300" xr2:uid="{8209AFE2-44FB-431E-A42A-D87E2E1A2F11}"/>
  </bookViews>
  <sheets>
    <sheet name=" Finance cost for BST -2025" sheetId="5" r:id="rId1"/>
    <sheet name="Annex 01 (3)" sheetId="13" r:id="rId2"/>
    <sheet name="Project Loan " sheetId="15" r:id="rId3"/>
    <sheet name="Sheet1 (2)" sheetId="14" state="hidden" r:id="rId4"/>
    <sheet name="Sheet1" sheetId="12" state="hidden" r:id="rId5"/>
    <sheet name="Annex 01 (2)" sheetId="11" state="hidden" r:id="rId6"/>
    <sheet name="Finance Cost" sheetId="6" state="hidden" r:id="rId7"/>
    <sheet name="Finance Cost -New" sheetId="8" state="hidden" r:id="rId8"/>
    <sheet name="Repayment" sheetId="10" state="hidden" r:id="rId9"/>
    <sheet name=" Finance cost for BST -2024 (2)" sheetId="7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bag2">#REF!</definedName>
    <definedName name="____Hat1">#REF!</definedName>
    <definedName name="___bag2">#REF!</definedName>
    <definedName name="___Hat1">#REF!</definedName>
    <definedName name="__bag2">#REF!</definedName>
    <definedName name="__Hat1">#REF!</definedName>
    <definedName name="_bag2">#REF!</definedName>
    <definedName name="_Fill" hidden="1">#REF!</definedName>
    <definedName name="_Hat1">#REF!</definedName>
    <definedName name="a">#REF!</definedName>
    <definedName name="AAA">#REF!</definedName>
    <definedName name="aaaa">#REF!</definedName>
    <definedName name="abc">#REF!</definedName>
    <definedName name="AJITH">#REF!</definedName>
    <definedName name="anscount" hidden="1">10</definedName>
    <definedName name="aq">'[1] CS 525'!$B$9:$E$209</definedName>
    <definedName name="asw">#REF!</definedName>
    <definedName name="AuthorizedPerson">#REF!</definedName>
    <definedName name="awedd">#REF!</definedName>
    <definedName name="aws">#REF!</definedName>
    <definedName name="b">#REF!</definedName>
    <definedName name="Baglantı">#REF!</definedName>
    <definedName name="belediyeler">#REF!</definedName>
    <definedName name="bolge">#REF!</definedName>
    <definedName name="d">#REF!</definedName>
    <definedName name="_xlnm.Database">#REF!</definedName>
    <definedName name="ddd">'[2]HQ CS'!$B$9:$E$208</definedName>
    <definedName name="dddd">#REF!</definedName>
    <definedName name="dgfs">'[2]R-3 CS'!$B$9:$I$208</definedName>
    <definedName name="discussion">[3]Title!$N$2</definedName>
    <definedName name="dsds">'[4] CS 527'!$B$9:$E$209</definedName>
    <definedName name="f">#REF!</definedName>
    <definedName name="ff">#REF!</definedName>
    <definedName name="fggg">'[2]R-2 CS'!$B$9:$P$208</definedName>
    <definedName name="gfhfhfjgj">#REF!</definedName>
    <definedName name="GG">#REF!</definedName>
    <definedName name="gggggggggggggggggggggggggggggggggggggggggg">#REF!</definedName>
    <definedName name="gthh">#REF!</definedName>
    <definedName name="Hat">#REF!</definedName>
    <definedName name="hayırkurumları">#REF!</definedName>
    <definedName name="hyfg">#REF!</definedName>
    <definedName name="içmevekullanmasuyu">#REF!</definedName>
    <definedName name="ItemList">[5]Match!$A$2:$A$4</definedName>
    <definedName name="JJJJ">'[6]CS W&amp;AS'!$C$7:$O$214</definedName>
    <definedName name="Kacak">#REF!</definedName>
    <definedName name="last_expl_year">[3]Valuation!$D$39</definedName>
    <definedName name="limcount" hidden="1">2</definedName>
    <definedName name="LK">'[7]CS W&amp;AS'!$C$7:$O$214</definedName>
    <definedName name="lll">#REF!</definedName>
    <definedName name="mamamamamamm">[8]DATA!#REF!</definedName>
    <definedName name="meskenler">#REF!</definedName>
    <definedName name="o">#REF!</definedName>
    <definedName name="oiiuu">#REF!</definedName>
    <definedName name="OOOO1">'[7]CS NORTH WESTERN'!$B$9:$H$208</definedName>
    <definedName name="pp">#REF!</definedName>
    <definedName name="PRI">#REF!</definedName>
    <definedName name="_xlnm.Print_Area" localSheetId="0">' Finance cost for BST -2025'!$A$1:$U$16</definedName>
    <definedName name="_xlnm.Print_Area" localSheetId="2">'Project Loan '!$A$2:$H$21</definedName>
    <definedName name="_xlnm.Print_Area">#REF!</definedName>
    <definedName name="PRINT_AREA_MI">#REF!</definedName>
    <definedName name="q">#REF!</definedName>
    <definedName name="qq">#REF!</definedName>
    <definedName name="qww">'[9]R-1CS'!$B$9:$K$208</definedName>
    <definedName name="resmidaire">#REF!</definedName>
    <definedName name="rtyut">#REF!</definedName>
    <definedName name="rtyutt">#REF!</definedName>
    <definedName name="s">#REF!</definedName>
    <definedName name="SAKARYA">#REF!</definedName>
    <definedName name="sanayi">#REF!</definedName>
    <definedName name="şantiye">#REF!</definedName>
    <definedName name="Sayac">#REF!</definedName>
    <definedName name="SEE">#REF!</definedName>
    <definedName name="sencount" hidden="1">2</definedName>
    <definedName name="SirketKod">[10]SirketKod!$A$1:$F$595</definedName>
    <definedName name="Sistem">#REF!</definedName>
    <definedName name="ssss">#REF!</definedName>
    <definedName name="Table">'[5]Ex 3'!$A$1:$D$4</definedName>
    <definedName name="tarımsalsulama">#REF!</definedName>
    <definedName name="ticarethane">#REF!</definedName>
    <definedName name="title">[3]Title!$C$4</definedName>
    <definedName name="toalgen">#REF!</definedName>
    <definedName name="TotalAM">#REF!</definedName>
    <definedName name="TotalAMCS">'[11]AM &amp; CS'!$C$9:$K$290</definedName>
    <definedName name="TotalAMCS1">#REF!</definedName>
    <definedName name="Totalcs540">'[12] CS 520 '!$B$9:$E$209</definedName>
    <definedName name="Totalcs54011">'[12] CS 520.20'!$B$9:$E$209</definedName>
    <definedName name="totalcs54060">'[12] CS 520.70'!$B$9:$E$209</definedName>
    <definedName name="totalcs541">'[12] CS 520.30'!$B$9:$E$209</definedName>
    <definedName name="totalcs542">'[13] CS 520.11'!$B$9:$E$209</definedName>
    <definedName name="totalcs543">'[13] CS 521'!$B$9:$E$210</definedName>
    <definedName name="totalcs544">'[13] CS 522'!$B$9:$E$209</definedName>
    <definedName name="totalcs545">'[13] CS 523'!$B$9:$E$209</definedName>
    <definedName name="totalcs546">'[13]CS 524'!$B$9:$E$209</definedName>
    <definedName name="totalcs547">'[13] CS 525'!$B$9:$E$209</definedName>
    <definedName name="totalcs548">'[13] CS 526'!$B$9:$E$209</definedName>
    <definedName name="TotalCs600">'[14] CS 527'!$B$9:$E$209</definedName>
    <definedName name="TotalPro">#REF!</definedName>
    <definedName name="TotalR11">#REF!</definedName>
    <definedName name="TotalR12">#REF!</definedName>
    <definedName name="TotalR17">#REF!</definedName>
    <definedName name="TotalR5">'[6]CS NORTH WESTERN'!$B$9:$H$208</definedName>
    <definedName name="TotalR6">#REF!</definedName>
    <definedName name="TotalR7">#REF!</definedName>
    <definedName name="Totalr9">#REF!</definedName>
    <definedName name="TotalRP">#REF!</definedName>
    <definedName name="TotalRR">#REF!</definedName>
    <definedName name="Totalrrr">#REF!</definedName>
    <definedName name="TotalTr">#REF!</definedName>
    <definedName name="TotalTraa">#REF!</definedName>
    <definedName name="trabhhl">'[15]CS  -960'!$B$7:$E$214</definedName>
    <definedName name="ttrr">#REF!</definedName>
    <definedName name="Uniped">#REF!</definedName>
    <definedName name="uyrtto">#REF!</definedName>
    <definedName name="v">#REF!</definedName>
    <definedName name="w">#REF!</definedName>
    <definedName name="we">#REF!</definedName>
    <definedName name="wew">#REF!</definedName>
    <definedName name="xcx">#REF!</definedName>
    <definedName name="YAZMAALA">#REF!</definedName>
    <definedName name="YAZMAALAN">#REF!</definedName>
    <definedName name="ytryutiu">#REF!</definedName>
    <definedName name="z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5" l="1"/>
  <c r="L16" i="5"/>
  <c r="U15" i="5"/>
  <c r="AC48" i="15" l="1"/>
  <c r="AB47" i="15"/>
  <c r="AA47" i="15"/>
  <c r="X47" i="15"/>
  <c r="W47" i="15"/>
  <c r="V47" i="15"/>
  <c r="U47" i="15"/>
  <c r="T47" i="15"/>
  <c r="S47" i="15"/>
  <c r="R47" i="15"/>
  <c r="Q47" i="15"/>
  <c r="P47" i="15"/>
  <c r="O47" i="15"/>
  <c r="L47" i="15"/>
  <c r="K47" i="15"/>
  <c r="J47" i="15"/>
  <c r="I47" i="15"/>
  <c r="H47" i="15"/>
  <c r="G47" i="15"/>
  <c r="F47" i="15"/>
  <c r="E47" i="15"/>
  <c r="AB46" i="15"/>
  <c r="AA46" i="15"/>
  <c r="X46" i="15"/>
  <c r="W46" i="15"/>
  <c r="V46" i="15"/>
  <c r="U46" i="15"/>
  <c r="T46" i="15"/>
  <c r="S46" i="15"/>
  <c r="R46" i="15"/>
  <c r="Q46" i="15"/>
  <c r="P46" i="15"/>
  <c r="O46" i="15"/>
  <c r="L46" i="15"/>
  <c r="K46" i="15"/>
  <c r="J46" i="15"/>
  <c r="I46" i="15"/>
  <c r="H46" i="15"/>
  <c r="G46" i="15"/>
  <c r="F46" i="15"/>
  <c r="E46" i="15"/>
  <c r="Z39" i="15"/>
  <c r="Z47" i="15" s="1"/>
  <c r="Y39" i="15"/>
  <c r="Y47" i="15" s="1"/>
  <c r="N39" i="15"/>
  <c r="N47" i="15" s="1"/>
  <c r="M39" i="15"/>
  <c r="M47" i="15" s="1"/>
  <c r="D39" i="15"/>
  <c r="D47" i="15" s="1"/>
  <c r="C39" i="15"/>
  <c r="C47" i="15" s="1"/>
  <c r="Z38" i="15"/>
  <c r="Z46" i="15" s="1"/>
  <c r="Y38" i="15"/>
  <c r="Y46" i="15" s="1"/>
  <c r="N38" i="15"/>
  <c r="N46" i="15" s="1"/>
  <c r="M38" i="15"/>
  <c r="M46" i="15" s="1"/>
  <c r="D38" i="15"/>
  <c r="D46" i="15" s="1"/>
  <c r="C38" i="15"/>
  <c r="C46" i="15" s="1"/>
  <c r="AF29" i="15"/>
  <c r="AE29" i="15"/>
  <c r="AG29" i="15" s="1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AF11" i="15"/>
  <c r="AE11" i="15"/>
  <c r="AG11" i="15" s="1"/>
  <c r="AF10" i="15"/>
  <c r="AE10" i="15"/>
  <c r="AG10" i="15" s="1"/>
  <c r="AF9" i="15"/>
  <c r="AE9" i="15"/>
  <c r="AG9" i="15" s="1"/>
  <c r="AF8" i="15"/>
  <c r="AE8" i="15"/>
  <c r="AG8" i="15" s="1"/>
  <c r="AF7" i="15"/>
  <c r="AE7" i="15"/>
  <c r="AG7" i="15" s="1"/>
  <c r="AF6" i="15"/>
  <c r="AE6" i="15"/>
  <c r="AG6" i="15" s="1"/>
  <c r="AE21" i="15" l="1"/>
  <c r="AG21" i="15" s="1"/>
  <c r="AE19" i="15"/>
  <c r="AG19" i="15" s="1"/>
  <c r="AD38" i="15"/>
  <c r="AC38" i="15"/>
  <c r="AC39" i="15"/>
  <c r="AE18" i="15"/>
  <c r="AG18" i="15" s="1"/>
  <c r="AE20" i="15"/>
  <c r="AG20" i="15" s="1"/>
  <c r="AD39" i="15"/>
  <c r="AD47" i="15"/>
  <c r="AF19" i="15"/>
  <c r="AF21" i="15"/>
  <c r="AE22" i="15"/>
  <c r="AG22" i="15" s="1"/>
  <c r="AC46" i="15"/>
  <c r="AF22" i="15"/>
  <c r="AF20" i="15"/>
  <c r="AE23" i="15"/>
  <c r="AG23" i="15" s="1"/>
  <c r="AF23" i="15"/>
  <c r="AF18" i="15"/>
  <c r="AC47" i="15"/>
  <c r="AD46" i="15"/>
  <c r="AD27" i="13"/>
  <c r="AF27" i="13" l="1"/>
  <c r="AE27" i="13"/>
  <c r="T15" i="5"/>
  <c r="N10" i="5" l="1"/>
  <c r="O10" i="5"/>
  <c r="P10" i="5"/>
  <c r="Q10" i="5"/>
  <c r="R10" i="5"/>
  <c r="M10" i="5"/>
  <c r="N9" i="5"/>
  <c r="O9" i="5"/>
  <c r="P9" i="5"/>
  <c r="Q9" i="5"/>
  <c r="R9" i="5"/>
  <c r="M9" i="5"/>
  <c r="H12" i="5" l="1"/>
  <c r="I12" i="5"/>
  <c r="J12" i="5"/>
  <c r="K12" i="5"/>
  <c r="L12" i="5"/>
  <c r="M12" i="5"/>
  <c r="N12" i="5"/>
  <c r="O12" i="5"/>
  <c r="P12" i="5"/>
  <c r="Q12" i="5"/>
  <c r="R12" i="5"/>
  <c r="G12" i="5"/>
  <c r="H11" i="5"/>
  <c r="I11" i="5"/>
  <c r="J11" i="5"/>
  <c r="K11" i="5"/>
  <c r="L11" i="5"/>
  <c r="M11" i="5"/>
  <c r="N11" i="5"/>
  <c r="O11" i="5"/>
  <c r="P11" i="5"/>
  <c r="Q11" i="5"/>
  <c r="R11" i="5"/>
  <c r="G11" i="5"/>
  <c r="AR8" i="13" l="1"/>
  <c r="AR9" i="13"/>
  <c r="AR10" i="13"/>
  <c r="AR11" i="13"/>
  <c r="AR12" i="13"/>
  <c r="AR13" i="13"/>
  <c r="AR14" i="13"/>
  <c r="AR15" i="13"/>
  <c r="AR16" i="13"/>
  <c r="AR17" i="13"/>
  <c r="AR19" i="13"/>
  <c r="AR20" i="13"/>
  <c r="AR21" i="13"/>
  <c r="AR22" i="13"/>
  <c r="AR23" i="13"/>
  <c r="AR24" i="13"/>
  <c r="AR25" i="13"/>
  <c r="AR26" i="13"/>
  <c r="AR7" i="13"/>
  <c r="D26" i="14"/>
  <c r="AL22" i="14"/>
  <c r="AK22" i="14"/>
  <c r="AJ22" i="14"/>
  <c r="AI22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J22" i="14"/>
  <c r="F22" i="14"/>
  <c r="D22" i="14"/>
  <c r="AN21" i="14"/>
  <c r="AM21" i="14"/>
  <c r="AN20" i="14"/>
  <c r="AM20" i="14"/>
  <c r="K20" i="14"/>
  <c r="AN19" i="14"/>
  <c r="AM19" i="14"/>
  <c r="K19" i="14"/>
  <c r="AN18" i="14"/>
  <c r="AM18" i="14"/>
  <c r="K18" i="14"/>
  <c r="AN17" i="14"/>
  <c r="AM17" i="14"/>
  <c r="K17" i="14"/>
  <c r="AN16" i="14"/>
  <c r="AM16" i="14"/>
  <c r="K16" i="14"/>
  <c r="AN15" i="14"/>
  <c r="AM15" i="14"/>
  <c r="K15" i="14"/>
  <c r="H15" i="14"/>
  <c r="AN14" i="14"/>
  <c r="AM14" i="14"/>
  <c r="AN13" i="14"/>
  <c r="AM13" i="14"/>
  <c r="K13" i="14"/>
  <c r="AN12" i="14"/>
  <c r="AM12" i="14"/>
  <c r="AN11" i="14"/>
  <c r="AM11" i="14"/>
  <c r="K11" i="14"/>
  <c r="AN10" i="14"/>
  <c r="AM10" i="14"/>
  <c r="K10" i="14"/>
  <c r="AN9" i="14"/>
  <c r="AM9" i="14"/>
  <c r="K9" i="14"/>
  <c r="H9" i="14"/>
  <c r="AN8" i="14"/>
  <c r="AM8" i="14"/>
  <c r="K8" i="14"/>
  <c r="AN7" i="14"/>
  <c r="AM7" i="14"/>
  <c r="AN6" i="14"/>
  <c r="AM6" i="14"/>
  <c r="K6" i="14"/>
  <c r="AN5" i="14"/>
  <c r="AM5" i="14"/>
  <c r="K5" i="14"/>
  <c r="AB9" i="12"/>
  <c r="AB10" i="12"/>
  <c r="AB13" i="12"/>
  <c r="AB15" i="12"/>
  <c r="AB19" i="12"/>
  <c r="AB20" i="12"/>
  <c r="AB21" i="12"/>
  <c r="AB8" i="12"/>
  <c r="AQ27" i="13"/>
  <c r="AP27" i="13"/>
  <c r="AO27" i="13"/>
  <c r="AN27" i="13"/>
  <c r="AM27" i="13"/>
  <c r="AL27" i="13"/>
  <c r="AK27" i="13"/>
  <c r="AJ27" i="13"/>
  <c r="AI27" i="13"/>
  <c r="AH27" i="13"/>
  <c r="AG27" i="13"/>
  <c r="AU25" i="13"/>
  <c r="AB25" i="13"/>
  <c r="Z25" i="13"/>
  <c r="X25" i="13"/>
  <c r="V25" i="13"/>
  <c r="T25" i="13"/>
  <c r="R25" i="13"/>
  <c r="P25" i="13"/>
  <c r="N25" i="13"/>
  <c r="L25" i="13"/>
  <c r="AT24" i="13"/>
  <c r="AS24" i="13"/>
  <c r="AB24" i="13"/>
  <c r="Z24" i="13"/>
  <c r="X24" i="13"/>
  <c r="V24" i="13"/>
  <c r="T24" i="13"/>
  <c r="R24" i="13"/>
  <c r="P24" i="13"/>
  <c r="N24" i="13"/>
  <c r="L24" i="13"/>
  <c r="J24" i="13"/>
  <c r="H24" i="13"/>
  <c r="F24" i="13"/>
  <c r="AU20" i="13"/>
  <c r="AB20" i="13"/>
  <c r="Z20" i="13"/>
  <c r="X20" i="13"/>
  <c r="V20" i="13"/>
  <c r="T20" i="13"/>
  <c r="AS19" i="13"/>
  <c r="AB19" i="13"/>
  <c r="Z19" i="13"/>
  <c r="X19" i="13"/>
  <c r="V19" i="13"/>
  <c r="T19" i="13"/>
  <c r="R19" i="13"/>
  <c r="P19" i="13"/>
  <c r="N19" i="13"/>
  <c r="L19" i="13"/>
  <c r="J19" i="13"/>
  <c r="H19" i="13"/>
  <c r="F19" i="13"/>
  <c r="AU17" i="13"/>
  <c r="AB17" i="13"/>
  <c r="Z17" i="13"/>
  <c r="X17" i="13"/>
  <c r="V17" i="13"/>
  <c r="T17" i="13"/>
  <c r="AT16" i="13"/>
  <c r="AB16" i="13"/>
  <c r="Z16" i="13"/>
  <c r="X16" i="13"/>
  <c r="V16" i="13"/>
  <c r="T16" i="13"/>
  <c r="R16" i="13"/>
  <c r="P16" i="13"/>
  <c r="N16" i="13"/>
  <c r="L16" i="13"/>
  <c r="J16" i="13"/>
  <c r="H16" i="13"/>
  <c r="F16" i="13"/>
  <c r="AT15" i="13"/>
  <c r="AS15" i="13"/>
  <c r="AB15" i="13"/>
  <c r="Z15" i="13"/>
  <c r="X15" i="13"/>
  <c r="V15" i="13"/>
  <c r="T15" i="13"/>
  <c r="R15" i="13"/>
  <c r="P15" i="13"/>
  <c r="N15" i="13"/>
  <c r="L15" i="13"/>
  <c r="J15" i="13"/>
  <c r="H15" i="13"/>
  <c r="F15" i="13"/>
  <c r="AT13" i="13"/>
  <c r="AB13" i="13"/>
  <c r="AS11" i="13"/>
  <c r="AS10" i="13"/>
  <c r="AT9" i="13"/>
  <c r="AT27" i="13" s="1"/>
  <c r="AS9" i="13"/>
  <c r="AU8" i="13"/>
  <c r="AU27" i="13" s="1"/>
  <c r="AS7" i="13"/>
  <c r="AS27" i="13" s="1"/>
  <c r="D26" i="12"/>
  <c r="J22" i="12"/>
  <c r="F22" i="12"/>
  <c r="D22" i="12"/>
  <c r="AA21" i="12"/>
  <c r="AA20" i="12"/>
  <c r="K20" i="12"/>
  <c r="AA19" i="12"/>
  <c r="K19" i="12"/>
  <c r="K18" i="12"/>
  <c r="AA17" i="12"/>
  <c r="K17" i="12"/>
  <c r="AA16" i="12"/>
  <c r="K16" i="12"/>
  <c r="AA15" i="12"/>
  <c r="K15" i="12"/>
  <c r="H15" i="12"/>
  <c r="AA14" i="12"/>
  <c r="AA13" i="12"/>
  <c r="K13" i="12"/>
  <c r="AA12" i="12"/>
  <c r="AA11" i="12"/>
  <c r="K11" i="12"/>
  <c r="AA10" i="12"/>
  <c r="K10" i="12"/>
  <c r="AA9" i="12"/>
  <c r="K9" i="12"/>
  <c r="H9" i="12"/>
  <c r="AA8" i="12"/>
  <c r="K8" i="12"/>
  <c r="AA7" i="12"/>
  <c r="K6" i="12"/>
  <c r="K5" i="12"/>
  <c r="AM22" i="14" l="1"/>
  <c r="AN22" i="14"/>
  <c r="H22" i="14"/>
  <c r="K22" i="14"/>
  <c r="H22" i="12"/>
  <c r="AR27" i="13"/>
  <c r="AA18" i="12"/>
  <c r="Z22" i="12"/>
  <c r="Y22" i="12"/>
  <c r="AB11" i="12"/>
  <c r="AB17" i="12"/>
  <c r="K22" i="12"/>
  <c r="S22" i="12"/>
  <c r="X22" i="12"/>
  <c r="AB16" i="12"/>
  <c r="W22" i="12"/>
  <c r="U22" i="12"/>
  <c r="AB12" i="12"/>
  <c r="N22" i="12"/>
  <c r="T22" i="12"/>
  <c r="R22" i="12"/>
  <c r="AB18" i="12" l="1"/>
  <c r="AB14" i="12"/>
  <c r="O22" i="12"/>
  <c r="AB5" i="12"/>
  <c r="AB7" i="12"/>
  <c r="V22" i="12"/>
  <c r="P22" i="12"/>
  <c r="Q22" i="12"/>
  <c r="AA6" i="12"/>
  <c r="AA5" i="12"/>
  <c r="AB6" i="12"/>
  <c r="AB22" i="12" l="1"/>
  <c r="AA22" i="12"/>
  <c r="AM14" i="5" l="1"/>
  <c r="S8" i="5"/>
  <c r="AM8" i="5" s="1"/>
  <c r="S9" i="5"/>
  <c r="AM9" i="5" s="1"/>
  <c r="S10" i="5"/>
  <c r="AM10" i="5" s="1"/>
  <c r="S11" i="5"/>
  <c r="AM11" i="5" s="1"/>
  <c r="S12" i="5"/>
  <c r="AM12" i="5" s="1"/>
  <c r="S7" i="5"/>
  <c r="AM7" i="5" s="1"/>
  <c r="BZ35" i="10"/>
  <c r="AQ42" i="10"/>
  <c r="AR8" i="11"/>
  <c r="AR9" i="11"/>
  <c r="AR10" i="11"/>
  <c r="AR11" i="11"/>
  <c r="AR12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R28" i="11"/>
  <c r="AR7" i="11"/>
  <c r="AL29" i="11"/>
  <c r="AI29" i="11"/>
  <c r="AG29" i="11"/>
  <c r="AH29" i="11"/>
  <c r="AV29" i="11"/>
  <c r="AQ29" i="11"/>
  <c r="AP29" i="11"/>
  <c r="AO29" i="11"/>
  <c r="AN29" i="11"/>
  <c r="AM29" i="11"/>
  <c r="AK29" i="11"/>
  <c r="AJ29" i="11"/>
  <c r="AF29" i="11"/>
  <c r="AR29" i="11" s="1"/>
  <c r="AE29" i="11"/>
  <c r="AD29" i="11"/>
  <c r="AU27" i="11"/>
  <c r="AB27" i="11"/>
  <c r="Z27" i="11"/>
  <c r="X27" i="11"/>
  <c r="V27" i="11"/>
  <c r="T27" i="11"/>
  <c r="R27" i="11"/>
  <c r="P27" i="11"/>
  <c r="N27" i="11"/>
  <c r="L27" i="11"/>
  <c r="AT26" i="11"/>
  <c r="AS26" i="11"/>
  <c r="AB26" i="11"/>
  <c r="Z26" i="11"/>
  <c r="X26" i="11"/>
  <c r="V26" i="11"/>
  <c r="T26" i="11"/>
  <c r="R26" i="11"/>
  <c r="P26" i="11"/>
  <c r="N26" i="11"/>
  <c r="L26" i="11"/>
  <c r="J26" i="11"/>
  <c r="H26" i="11"/>
  <c r="F26" i="11"/>
  <c r="AU22" i="11"/>
  <c r="AB22" i="11"/>
  <c r="Z22" i="11"/>
  <c r="X22" i="11"/>
  <c r="V22" i="11"/>
  <c r="T22" i="11"/>
  <c r="AS21" i="11"/>
  <c r="AB21" i="11"/>
  <c r="Z21" i="11"/>
  <c r="X21" i="11"/>
  <c r="V21" i="11"/>
  <c r="T21" i="11"/>
  <c r="R21" i="11"/>
  <c r="P21" i="11"/>
  <c r="N21" i="11"/>
  <c r="AS20" i="11"/>
  <c r="AB20" i="11"/>
  <c r="Z20" i="11"/>
  <c r="X20" i="11"/>
  <c r="V20" i="11"/>
  <c r="T20" i="11"/>
  <c r="R20" i="11"/>
  <c r="P20" i="11"/>
  <c r="N20" i="11"/>
  <c r="L20" i="11"/>
  <c r="J20" i="11"/>
  <c r="H20" i="11"/>
  <c r="F20" i="11"/>
  <c r="AU18" i="11"/>
  <c r="AB18" i="11"/>
  <c r="Z18" i="11"/>
  <c r="X18" i="11"/>
  <c r="V18" i="11"/>
  <c r="T18" i="11"/>
  <c r="AT17" i="11"/>
  <c r="AB17" i="11"/>
  <c r="Z17" i="11"/>
  <c r="X17" i="11"/>
  <c r="V17" i="11"/>
  <c r="T17" i="11"/>
  <c r="R17" i="11"/>
  <c r="P17" i="11"/>
  <c r="N17" i="11"/>
  <c r="L17" i="11"/>
  <c r="J17" i="11"/>
  <c r="H17" i="11"/>
  <c r="F17" i="11"/>
  <c r="AT16" i="11"/>
  <c r="AS16" i="11"/>
  <c r="AB16" i="11"/>
  <c r="Z16" i="11"/>
  <c r="X16" i="11"/>
  <c r="V16" i="11"/>
  <c r="T16" i="11"/>
  <c r="R16" i="11"/>
  <c r="P16" i="11"/>
  <c r="N16" i="11"/>
  <c r="L16" i="11"/>
  <c r="J16" i="11"/>
  <c r="H16" i="11"/>
  <c r="F16" i="11"/>
  <c r="AT14" i="11"/>
  <c r="AB14" i="11"/>
  <c r="AT13" i="11"/>
  <c r="AS13" i="11"/>
  <c r="AB13" i="11"/>
  <c r="Z13" i="11"/>
  <c r="X13" i="11"/>
  <c r="V13" i="11"/>
  <c r="T13" i="11"/>
  <c r="R13" i="11"/>
  <c r="P13" i="11"/>
  <c r="N13" i="11"/>
  <c r="L13" i="11"/>
  <c r="J13" i="11"/>
  <c r="H13" i="11"/>
  <c r="F13" i="11"/>
  <c r="AS11" i="11"/>
  <c r="AS10" i="11"/>
  <c r="AT9" i="11"/>
  <c r="AT29" i="11" s="1"/>
  <c r="AS9" i="11"/>
  <c r="AU8" i="11"/>
  <c r="AU29" i="11" s="1"/>
  <c r="AS7" i="11"/>
  <c r="AS29" i="11" s="1"/>
  <c r="BU35" i="10"/>
  <c r="BY35" i="10" s="1"/>
  <c r="BT35" i="10"/>
  <c r="AB35" i="10"/>
  <c r="Z35" i="10"/>
  <c r="X35" i="10"/>
  <c r="V35" i="10"/>
  <c r="T35" i="10"/>
  <c r="BU32" i="10"/>
  <c r="BT32" i="10"/>
  <c r="BT31" i="10"/>
  <c r="BS31" i="10"/>
  <c r="BQ31" i="10"/>
  <c r="BO31" i="10"/>
  <c r="BU31" i="10" s="1"/>
  <c r="BT30" i="10"/>
  <c r="BS30" i="10"/>
  <c r="BQ30" i="10"/>
  <c r="BO30" i="10"/>
  <c r="BT29" i="10"/>
  <c r="BS29" i="10"/>
  <c r="BQ29" i="10"/>
  <c r="BO29" i="10"/>
  <c r="BU29" i="10" s="1"/>
  <c r="BR27" i="10"/>
  <c r="BP27" i="10"/>
  <c r="BN27" i="10"/>
  <c r="BL27" i="10"/>
  <c r="BK27" i="10"/>
  <c r="BJ27" i="10"/>
  <c r="BI27" i="10"/>
  <c r="BH27" i="10"/>
  <c r="BG27" i="10"/>
  <c r="BF27" i="10"/>
  <c r="BE27" i="10"/>
  <c r="BD27" i="10"/>
  <c r="BC27" i="10"/>
  <c r="BB27" i="10"/>
  <c r="BA27" i="10"/>
  <c r="AZ27" i="10"/>
  <c r="AY27" i="10"/>
  <c r="AX27" i="10"/>
  <c r="AW27" i="10"/>
  <c r="AV27" i="10"/>
  <c r="AU27" i="10"/>
  <c r="AT27" i="10"/>
  <c r="AS27" i="10"/>
  <c r="AR27" i="10"/>
  <c r="AQ27" i="10"/>
  <c r="AP27" i="10"/>
  <c r="AO27" i="10"/>
  <c r="AN27" i="10"/>
  <c r="AL27" i="10"/>
  <c r="AJ27" i="10"/>
  <c r="AH27" i="10"/>
  <c r="AG27" i="10"/>
  <c r="AF27" i="10"/>
  <c r="BZ26" i="10"/>
  <c r="BU26" i="10"/>
  <c r="BY26" i="10" s="1"/>
  <c r="BT26" i="10"/>
  <c r="AB26" i="10"/>
  <c r="Z26" i="10"/>
  <c r="X26" i="10"/>
  <c r="V26" i="10"/>
  <c r="T26" i="10"/>
  <c r="R26" i="10"/>
  <c r="P26" i="10"/>
  <c r="N26" i="10"/>
  <c r="L26" i="10"/>
  <c r="BU25" i="10"/>
  <c r="BX25" i="10" s="1"/>
  <c r="BT25" i="10"/>
  <c r="AI25" i="10"/>
  <c r="BZ25" i="10" s="1"/>
  <c r="AB25" i="10"/>
  <c r="Z25" i="10"/>
  <c r="X25" i="10"/>
  <c r="V25" i="10"/>
  <c r="T25" i="10"/>
  <c r="R25" i="10"/>
  <c r="P25" i="10"/>
  <c r="N25" i="10"/>
  <c r="L25" i="10"/>
  <c r="J25" i="10"/>
  <c r="H25" i="10"/>
  <c r="F25" i="10"/>
  <c r="BZ24" i="10"/>
  <c r="BZ23" i="10"/>
  <c r="BU23" i="10"/>
  <c r="BT23" i="10"/>
  <c r="BZ22" i="10"/>
  <c r="BU22" i="10"/>
  <c r="BT22" i="10"/>
  <c r="BZ21" i="10"/>
  <c r="BU21" i="10"/>
  <c r="BY21" i="10" s="1"/>
  <c r="BT21" i="10"/>
  <c r="AB21" i="10"/>
  <c r="Z21" i="10"/>
  <c r="X21" i="10"/>
  <c r="V21" i="10"/>
  <c r="T21" i="10"/>
  <c r="BZ20" i="10"/>
  <c r="BU20" i="10"/>
  <c r="BW20" i="10" s="1"/>
  <c r="BT20" i="10"/>
  <c r="AB20" i="10"/>
  <c r="Z20" i="10"/>
  <c r="X20" i="10"/>
  <c r="V20" i="10"/>
  <c r="T20" i="10"/>
  <c r="R20" i="10"/>
  <c r="P20" i="10"/>
  <c r="N20" i="10"/>
  <c r="BZ19" i="10"/>
  <c r="BU19" i="10"/>
  <c r="BW19" i="10" s="1"/>
  <c r="BT19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BT17" i="10"/>
  <c r="BS17" i="10"/>
  <c r="BQ17" i="10"/>
  <c r="BO17" i="10"/>
  <c r="BM17" i="10"/>
  <c r="BZ17" i="10" s="1"/>
  <c r="AB17" i="10"/>
  <c r="Z17" i="10"/>
  <c r="X17" i="10"/>
  <c r="V17" i="10"/>
  <c r="T17" i="10"/>
  <c r="BZ16" i="10"/>
  <c r="BU16" i="10"/>
  <c r="BX16" i="10" s="1"/>
  <c r="BT16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BU15" i="10"/>
  <c r="BX15" i="10" s="1"/>
  <c r="BT15" i="10"/>
  <c r="AM15" i="10"/>
  <c r="AI15" i="10"/>
  <c r="BZ15" i="10" s="1"/>
  <c r="AB15" i="10"/>
  <c r="Z15" i="10"/>
  <c r="X15" i="10"/>
  <c r="V15" i="10"/>
  <c r="T15" i="10"/>
  <c r="R15" i="10"/>
  <c r="P15" i="10"/>
  <c r="N15" i="10"/>
  <c r="L15" i="10"/>
  <c r="J15" i="10"/>
  <c r="H15" i="10"/>
  <c r="F15" i="10"/>
  <c r="BZ14" i="10"/>
  <c r="BU14" i="10"/>
  <c r="BT14" i="10"/>
  <c r="BZ13" i="10"/>
  <c r="BU13" i="10"/>
  <c r="BX13" i="10" s="1"/>
  <c r="BT13" i="10"/>
  <c r="BS13" i="10"/>
  <c r="AB13" i="10"/>
  <c r="BZ12" i="10"/>
  <c r="BU12" i="10"/>
  <c r="BX12" i="10" s="1"/>
  <c r="BT12" i="10"/>
  <c r="AK12" i="10"/>
  <c r="AK27" i="10" s="1"/>
  <c r="AI12" i="10"/>
  <c r="AI27" i="10" s="1"/>
  <c r="AB12" i="10"/>
  <c r="Z12" i="10"/>
  <c r="X12" i="10"/>
  <c r="V12" i="10"/>
  <c r="T12" i="10"/>
  <c r="R12" i="10"/>
  <c r="P12" i="10"/>
  <c r="N12" i="10"/>
  <c r="L12" i="10"/>
  <c r="J12" i="10"/>
  <c r="H12" i="10"/>
  <c r="F12" i="10"/>
  <c r="BZ11" i="10"/>
  <c r="BU11" i="10"/>
  <c r="BT11" i="10"/>
  <c r="BT10" i="10"/>
  <c r="BS10" i="10"/>
  <c r="BZ10" i="10" s="1"/>
  <c r="BT9" i="10"/>
  <c r="BS9" i="10"/>
  <c r="BQ9" i="10"/>
  <c r="BO9" i="10"/>
  <c r="BO27" i="10" s="1"/>
  <c r="BM9" i="10"/>
  <c r="BT8" i="10"/>
  <c r="BS8" i="10"/>
  <c r="BQ8" i="10"/>
  <c r="BO8" i="10"/>
  <c r="BM8" i="10"/>
  <c r="AM8" i="10"/>
  <c r="BT7" i="10"/>
  <c r="BS7" i="10"/>
  <c r="BQ7" i="10"/>
  <c r="BO7" i="10"/>
  <c r="BM7" i="10"/>
  <c r="BT6" i="10"/>
  <c r="BS6" i="10"/>
  <c r="BQ6" i="10"/>
  <c r="BO6" i="10"/>
  <c r="BM6" i="10"/>
  <c r="AQ1" i="10"/>
  <c r="AI1" i="10"/>
  <c r="BW12" i="10" l="1"/>
  <c r="BZ8" i="10"/>
  <c r="BU8" i="10"/>
  <c r="BX8" i="10" s="1"/>
  <c r="BU10" i="10"/>
  <c r="BW10" i="10" s="1"/>
  <c r="BM27" i="10"/>
  <c r="BU17" i="10"/>
  <c r="BY17" i="10" s="1"/>
  <c r="BZ6" i="10"/>
  <c r="BU7" i="10"/>
  <c r="BY7" i="10" s="1"/>
  <c r="BQ27" i="10"/>
  <c r="BT27" i="10"/>
  <c r="BZ9" i="10"/>
  <c r="BU30" i="10"/>
  <c r="BW15" i="10"/>
  <c r="BU6" i="10"/>
  <c r="BZ7" i="10"/>
  <c r="AM27" i="10"/>
  <c r="BS27" i="10"/>
  <c r="BW25" i="10"/>
  <c r="BU9" i="10"/>
  <c r="BW9" i="10" s="1"/>
  <c r="BZ27" i="10" l="1"/>
  <c r="BW8" i="10"/>
  <c r="BU27" i="10"/>
  <c r="BW6" i="10"/>
  <c r="AS44" i="8" l="1"/>
  <c r="BX37" i="8"/>
  <c r="BV20" i="8"/>
  <c r="AI1" i="8"/>
  <c r="BM27" i="8"/>
  <c r="BE27" i="8"/>
  <c r="BA27" i="8"/>
  <c r="BX11" i="8" l="1"/>
  <c r="BX14" i="8"/>
  <c r="BX16" i="8"/>
  <c r="BX18" i="8"/>
  <c r="BX19" i="8"/>
  <c r="BX20" i="8"/>
  <c r="BX21" i="8"/>
  <c r="BX22" i="8"/>
  <c r="BX23" i="8"/>
  <c r="BX24" i="8"/>
  <c r="BX26" i="8"/>
  <c r="BW23" i="8"/>
  <c r="AG27" i="8"/>
  <c r="AF27" i="8"/>
  <c r="BW37" i="8"/>
  <c r="CA37" i="8" s="1"/>
  <c r="BV37" i="8"/>
  <c r="AD37" i="8"/>
  <c r="AB37" i="8"/>
  <c r="Z37" i="8"/>
  <c r="X37" i="8"/>
  <c r="V37" i="8"/>
  <c r="BW34" i="8"/>
  <c r="BV34" i="8"/>
  <c r="BV33" i="8"/>
  <c r="BU33" i="8"/>
  <c r="BS33" i="8"/>
  <c r="BQ33" i="8"/>
  <c r="BV32" i="8"/>
  <c r="BU32" i="8"/>
  <c r="BS32" i="8"/>
  <c r="BQ32" i="8"/>
  <c r="BV31" i="8"/>
  <c r="BU31" i="8"/>
  <c r="BS31" i="8"/>
  <c r="BQ31" i="8"/>
  <c r="BT27" i="8"/>
  <c r="BR27" i="8"/>
  <c r="BP27" i="8"/>
  <c r="BN27" i="8"/>
  <c r="BL27" i="8"/>
  <c r="BK27" i="8"/>
  <c r="BJ27" i="8"/>
  <c r="BI27" i="8"/>
  <c r="BH27" i="8"/>
  <c r="BG27" i="8"/>
  <c r="BF27" i="8"/>
  <c r="BD27" i="8"/>
  <c r="BC27" i="8"/>
  <c r="BB27" i="8"/>
  <c r="AZ27" i="8"/>
  <c r="AY27" i="8"/>
  <c r="AX27" i="8"/>
  <c r="AW27" i="8"/>
  <c r="AV27" i="8"/>
  <c r="AU27" i="8"/>
  <c r="AT27" i="8"/>
  <c r="AR27" i="8"/>
  <c r="AQ27" i="8"/>
  <c r="AP27" i="8"/>
  <c r="AN27" i="8"/>
  <c r="AL27" i="8"/>
  <c r="AJ27" i="8"/>
  <c r="AI27" i="8"/>
  <c r="AH27" i="8"/>
  <c r="BW26" i="8"/>
  <c r="CA26" i="8" s="1"/>
  <c r="BV26" i="8"/>
  <c r="AD26" i="8"/>
  <c r="AB26" i="8"/>
  <c r="Z26" i="8"/>
  <c r="X26" i="8"/>
  <c r="V26" i="8"/>
  <c r="T26" i="8"/>
  <c r="R26" i="8"/>
  <c r="P26" i="8"/>
  <c r="N26" i="8"/>
  <c r="BW25" i="8"/>
  <c r="BY25" i="8" s="1"/>
  <c r="BV25" i="8"/>
  <c r="AK25" i="8"/>
  <c r="BX25" i="8" s="1"/>
  <c r="AD25" i="8"/>
  <c r="AB25" i="8"/>
  <c r="Z25" i="8"/>
  <c r="X25" i="8"/>
  <c r="V25" i="8"/>
  <c r="T25" i="8"/>
  <c r="R25" i="8"/>
  <c r="P25" i="8"/>
  <c r="N25" i="8"/>
  <c r="L25" i="8"/>
  <c r="J25" i="8"/>
  <c r="H25" i="8"/>
  <c r="BV23" i="8"/>
  <c r="BW22" i="8"/>
  <c r="BV22" i="8"/>
  <c r="BW21" i="8"/>
  <c r="CA21" i="8" s="1"/>
  <c r="BV21" i="8"/>
  <c r="AD21" i="8"/>
  <c r="AB21" i="8"/>
  <c r="Z21" i="8"/>
  <c r="X21" i="8"/>
  <c r="V21" i="8"/>
  <c r="BW20" i="8"/>
  <c r="BY20" i="8" s="1"/>
  <c r="AD20" i="8"/>
  <c r="AB20" i="8"/>
  <c r="Z20" i="8"/>
  <c r="X20" i="8"/>
  <c r="V20" i="8"/>
  <c r="T20" i="8"/>
  <c r="R20" i="8"/>
  <c r="P20" i="8"/>
  <c r="BW19" i="8"/>
  <c r="BY19" i="8" s="1"/>
  <c r="BV19" i="8"/>
  <c r="AD19" i="8"/>
  <c r="AB19" i="8"/>
  <c r="Z19" i="8"/>
  <c r="X19" i="8"/>
  <c r="V19" i="8"/>
  <c r="T19" i="8"/>
  <c r="R19" i="8"/>
  <c r="P19" i="8"/>
  <c r="N19" i="8"/>
  <c r="L19" i="8"/>
  <c r="J19" i="8"/>
  <c r="H19" i="8"/>
  <c r="BV17" i="8"/>
  <c r="BU17" i="8"/>
  <c r="BS17" i="8"/>
  <c r="BQ17" i="8"/>
  <c r="BO17" i="8"/>
  <c r="BX17" i="8" s="1"/>
  <c r="AD17" i="8"/>
  <c r="AB17" i="8"/>
  <c r="Z17" i="8"/>
  <c r="X17" i="8"/>
  <c r="V17" i="8"/>
  <c r="BW16" i="8"/>
  <c r="BZ16" i="8" s="1"/>
  <c r="BV16" i="8"/>
  <c r="AD16" i="8"/>
  <c r="AB16" i="8"/>
  <c r="Z16" i="8"/>
  <c r="X16" i="8"/>
  <c r="V16" i="8"/>
  <c r="T16" i="8"/>
  <c r="R16" i="8"/>
  <c r="P16" i="8"/>
  <c r="N16" i="8"/>
  <c r="L16" i="8"/>
  <c r="J16" i="8"/>
  <c r="H16" i="8"/>
  <c r="BW15" i="8"/>
  <c r="BZ15" i="8" s="1"/>
  <c r="BV15" i="8"/>
  <c r="AO15" i="8"/>
  <c r="AK15" i="8"/>
  <c r="BX15" i="8" s="1"/>
  <c r="AD15" i="8"/>
  <c r="AB15" i="8"/>
  <c r="Z15" i="8"/>
  <c r="X15" i="8"/>
  <c r="V15" i="8"/>
  <c r="T15" i="8"/>
  <c r="R15" i="8"/>
  <c r="P15" i="8"/>
  <c r="N15" i="8"/>
  <c r="L15" i="8"/>
  <c r="J15" i="8"/>
  <c r="H15" i="8"/>
  <c r="BW14" i="8"/>
  <c r="BV14" i="8"/>
  <c r="BV13" i="8"/>
  <c r="BU13" i="8"/>
  <c r="BW13" i="8" s="1"/>
  <c r="BZ13" i="8" s="1"/>
  <c r="AD13" i="8"/>
  <c r="BW12" i="8"/>
  <c r="BY12" i="8" s="1"/>
  <c r="BV12" i="8"/>
  <c r="AM12" i="8"/>
  <c r="AM27" i="8" s="1"/>
  <c r="AK12" i="8"/>
  <c r="BX12" i="8" s="1"/>
  <c r="AD12" i="8"/>
  <c r="AB12" i="8"/>
  <c r="Z12" i="8"/>
  <c r="X12" i="8"/>
  <c r="V12" i="8"/>
  <c r="T12" i="8"/>
  <c r="R12" i="8"/>
  <c r="P12" i="8"/>
  <c r="N12" i="8"/>
  <c r="L12" i="8"/>
  <c r="J12" i="8"/>
  <c r="H12" i="8"/>
  <c r="BW11" i="8"/>
  <c r="BV11" i="8"/>
  <c r="BV10" i="8"/>
  <c r="BU10" i="8"/>
  <c r="BW10" i="8" s="1"/>
  <c r="BY10" i="8" s="1"/>
  <c r="BV9" i="8"/>
  <c r="BU9" i="8"/>
  <c r="BS9" i="8"/>
  <c r="BQ9" i="8"/>
  <c r="BO9" i="8"/>
  <c r="BV8" i="8"/>
  <c r="BU8" i="8"/>
  <c r="BS8" i="8"/>
  <c r="BQ8" i="8"/>
  <c r="BO8" i="8"/>
  <c r="AO8" i="8"/>
  <c r="AO27" i="8" s="1"/>
  <c r="BV7" i="8"/>
  <c r="BU7" i="8"/>
  <c r="BS7" i="8"/>
  <c r="BQ7" i="8"/>
  <c r="BO7" i="8"/>
  <c r="BV6" i="8"/>
  <c r="BU6" i="8"/>
  <c r="BS6" i="8"/>
  <c r="BQ6" i="8"/>
  <c r="BO6" i="8"/>
  <c r="AS6" i="8"/>
  <c r="AS27" i="8" s="1"/>
  <c r="BX7" i="8" l="1"/>
  <c r="BW9" i="8"/>
  <c r="BY9" i="8" s="1"/>
  <c r="BX10" i="8"/>
  <c r="BX6" i="8"/>
  <c r="BX9" i="8"/>
  <c r="BX8" i="8"/>
  <c r="BX13" i="8"/>
  <c r="BO27" i="8"/>
  <c r="BW8" i="8"/>
  <c r="BY8" i="8" s="1"/>
  <c r="BS27" i="8"/>
  <c r="BW32" i="8"/>
  <c r="BW17" i="8"/>
  <c r="CA17" i="8" s="1"/>
  <c r="BY15" i="8"/>
  <c r="BW31" i="8"/>
  <c r="BV27" i="8"/>
  <c r="BU27" i="8"/>
  <c r="BW7" i="8"/>
  <c r="CA7" i="8" s="1"/>
  <c r="BQ27" i="8"/>
  <c r="AK27" i="8"/>
  <c r="BZ25" i="8"/>
  <c r="BW33" i="8"/>
  <c r="BZ12" i="8"/>
  <c r="BW6" i="8"/>
  <c r="BX27" i="8" l="1"/>
  <c r="BZ8" i="8"/>
  <c r="BW27" i="8"/>
  <c r="BY6" i="8"/>
  <c r="Z12" i="7" l="1"/>
  <c r="B10" i="7"/>
  <c r="Z10" i="7" s="1"/>
  <c r="B9" i="7"/>
  <c r="Y20" i="7"/>
  <c r="Y19" i="7"/>
  <c r="Z7" i="7"/>
  <c r="F16" i="7"/>
  <c r="G16" i="7"/>
  <c r="I16" i="7"/>
  <c r="J16" i="7"/>
  <c r="W16" i="7"/>
  <c r="Y16" i="7"/>
  <c r="Z8" i="7"/>
  <c r="AA7" i="7"/>
  <c r="AA15" i="7"/>
  <c r="Z15" i="7"/>
  <c r="O15" i="7"/>
  <c r="Z14" i="7"/>
  <c r="T19" i="7"/>
  <c r="T18" i="7"/>
  <c r="C13" i="7"/>
  <c r="C16" i="7" s="1"/>
  <c r="D13" i="7"/>
  <c r="D16" i="7" s="1"/>
  <c r="E13" i="7"/>
  <c r="E16" i="7" s="1"/>
  <c r="F13" i="7"/>
  <c r="G13" i="7"/>
  <c r="H13" i="7"/>
  <c r="H16" i="7" s="1"/>
  <c r="I13" i="7"/>
  <c r="J13" i="7"/>
  <c r="K13" i="7"/>
  <c r="K16" i="7" s="1"/>
  <c r="L13" i="7"/>
  <c r="L16" i="7" s="1"/>
  <c r="M13" i="7"/>
  <c r="M16" i="7" s="1"/>
  <c r="N13" i="7"/>
  <c r="N16" i="7" s="1"/>
  <c r="O13" i="7"/>
  <c r="O16" i="7" s="1"/>
  <c r="P13" i="7"/>
  <c r="P16" i="7" s="1"/>
  <c r="Q13" i="7"/>
  <c r="Q16" i="7" s="1"/>
  <c r="R13" i="7"/>
  <c r="R16" i="7" s="1"/>
  <c r="S13" i="7"/>
  <c r="S16" i="7" s="1"/>
  <c r="T13" i="7"/>
  <c r="T16" i="7" s="1"/>
  <c r="U13" i="7"/>
  <c r="U16" i="7" s="1"/>
  <c r="V13" i="7"/>
  <c r="V16" i="7" s="1"/>
  <c r="W13" i="7"/>
  <c r="X13" i="7"/>
  <c r="X16" i="7" s="1"/>
  <c r="Y13" i="7"/>
  <c r="M27" i="7"/>
  <c r="L27" i="7"/>
  <c r="K27" i="7"/>
  <c r="J27" i="7"/>
  <c r="I27" i="7"/>
  <c r="H27" i="7"/>
  <c r="G27" i="7"/>
  <c r="F27" i="7"/>
  <c r="E27" i="7"/>
  <c r="D27" i="7"/>
  <c r="C27" i="7"/>
  <c r="B27" i="7"/>
  <c r="N25" i="7"/>
  <c r="N27" i="7" s="1"/>
  <c r="AA12" i="7"/>
  <c r="AA11" i="7"/>
  <c r="AA13" i="7" s="1"/>
  <c r="AA16" i="7" s="1"/>
  <c r="B11" i="7"/>
  <c r="Z11" i="7" s="1"/>
  <c r="AA10" i="7"/>
  <c r="AA9" i="7"/>
  <c r="AA8" i="7"/>
  <c r="B13" i="7" l="1"/>
  <c r="B16" i="7" s="1"/>
  <c r="Z9" i="7"/>
  <c r="Z13" i="7" s="1"/>
  <c r="Z16" i="7" s="1"/>
  <c r="AA18" i="7"/>
  <c r="AA20" i="7" s="1"/>
  <c r="W9" i="5"/>
  <c r="I13" i="5"/>
  <c r="I15" i="5" s="1"/>
  <c r="H13" i="5"/>
  <c r="C31" i="5"/>
  <c r="C32" i="5" s="1"/>
  <c r="B31" i="5"/>
  <c r="B32" i="5" s="1"/>
  <c r="C45" i="5"/>
  <c r="B45" i="5"/>
  <c r="D31" i="5"/>
  <c r="D32" i="5" s="1"/>
  <c r="E31" i="5"/>
  <c r="E32" i="5" s="1"/>
  <c r="B27" i="6"/>
  <c r="H26" i="6"/>
  <c r="G26" i="6"/>
  <c r="F26" i="6"/>
  <c r="E26" i="6"/>
  <c r="D26" i="6"/>
  <c r="C26" i="6"/>
  <c r="H25" i="6"/>
  <c r="G25" i="6"/>
  <c r="F25" i="6"/>
  <c r="E25" i="6"/>
  <c r="I25" i="6" s="1"/>
  <c r="D25" i="6"/>
  <c r="C25" i="6"/>
  <c r="H24" i="6"/>
  <c r="G24" i="6"/>
  <c r="F24" i="6"/>
  <c r="E24" i="6"/>
  <c r="D24" i="6"/>
  <c r="C24" i="6"/>
  <c r="H23" i="6"/>
  <c r="G23" i="6"/>
  <c r="F23" i="6"/>
  <c r="E23" i="6"/>
  <c r="D23" i="6"/>
  <c r="C23" i="6"/>
  <c r="H22" i="6"/>
  <c r="G22" i="6"/>
  <c r="F22" i="6"/>
  <c r="E22" i="6"/>
  <c r="D22" i="6"/>
  <c r="C22" i="6"/>
  <c r="H21" i="6"/>
  <c r="G21" i="6"/>
  <c r="F21" i="6"/>
  <c r="E21" i="6"/>
  <c r="I21" i="6" s="1"/>
  <c r="D21" i="6"/>
  <c r="C21" i="6"/>
  <c r="H20" i="6"/>
  <c r="G20" i="6"/>
  <c r="F20" i="6"/>
  <c r="E20" i="6"/>
  <c r="D20" i="6"/>
  <c r="C20" i="6"/>
  <c r="H19" i="6"/>
  <c r="G19" i="6"/>
  <c r="F19" i="6"/>
  <c r="E19" i="6"/>
  <c r="D19" i="6"/>
  <c r="C19" i="6"/>
  <c r="H18" i="6"/>
  <c r="G18" i="6"/>
  <c r="F18" i="6"/>
  <c r="E18" i="6"/>
  <c r="D18" i="6"/>
  <c r="D27" i="6" s="1"/>
  <c r="C18" i="6"/>
  <c r="I18" i="6" s="1"/>
  <c r="H14" i="6"/>
  <c r="G14" i="6"/>
  <c r="F14" i="6"/>
  <c r="E14" i="6"/>
  <c r="D14" i="6"/>
  <c r="C14" i="6"/>
  <c r="B14" i="6"/>
  <c r="I23" i="6" l="1"/>
  <c r="I20" i="6"/>
  <c r="I26" i="6"/>
  <c r="E27" i="6"/>
  <c r="F27" i="6"/>
  <c r="I22" i="6"/>
  <c r="G27" i="6"/>
  <c r="H27" i="6"/>
  <c r="I24" i="6"/>
  <c r="I19" i="6"/>
  <c r="I27" i="6" s="1"/>
  <c r="H15" i="5"/>
  <c r="C27" i="6"/>
  <c r="L13" i="5" l="1"/>
  <c r="L15" i="5" s="1"/>
  <c r="J13" i="5"/>
  <c r="K13" i="5"/>
  <c r="K15" i="5" s="1"/>
  <c r="M13" i="5"/>
  <c r="M15" i="5" s="1"/>
  <c r="N13" i="5"/>
  <c r="N15" i="5" s="1"/>
  <c r="O13" i="5"/>
  <c r="O15" i="5" s="1"/>
  <c r="P13" i="5"/>
  <c r="P15" i="5" s="1"/>
  <c r="Q13" i="5"/>
  <c r="Q15" i="5" s="1"/>
  <c r="R13" i="5"/>
  <c r="R15" i="5" s="1"/>
  <c r="G13" i="5"/>
  <c r="G15" i="5" l="1"/>
  <c r="S13" i="5"/>
  <c r="AM13" i="5" s="1"/>
  <c r="J15" i="5"/>
  <c r="AM15" i="5" l="1"/>
  <c r="S1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J17" authorId="0" shapeId="0" xr:uid="{14B8FF65-8067-4D10-8EAE-5A1A1982037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24% Floor applicable</t>
        </r>
      </text>
    </comment>
    <comment ref="AN17" authorId="0" shapeId="0" xr:uid="{24F6B3A7-3B5B-41C4-998F-7CDC4E208C3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after 6th reduced the floor rate to 18%</t>
        </r>
      </text>
    </comment>
    <comment ref="AR17" authorId="0" shapeId="0" xr:uid="{A6BBA836-D99F-4B00-BEF0-99BF50A30D7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After 15th no floor rate.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H17" authorId="0" shapeId="0" xr:uid="{7A2355DC-FCE9-4C45-BF85-74838A84DF1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24% Floor applicable</t>
        </r>
      </text>
    </comment>
    <comment ref="AL17" authorId="0" shapeId="0" xr:uid="{A4A4ED77-37F6-46E8-9C52-8B55E95AB7E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after 6th reduced the floor rate to 18%</t>
        </r>
      </text>
    </comment>
    <comment ref="AP17" authorId="0" shapeId="0" xr:uid="{7B619885-7833-4F1E-B48F-904926B8EB0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After 15th no floor rate.</t>
        </r>
      </text>
    </comment>
  </commentList>
</comments>
</file>

<file path=xl/sharedStrings.xml><?xml version="1.0" encoding="utf-8"?>
<sst xmlns="http://schemas.openxmlformats.org/spreadsheetml/2006/main" count="1341" uniqueCount="213">
  <si>
    <t>Ceylon Electricity Board</t>
  </si>
  <si>
    <t>July</t>
  </si>
  <si>
    <t>August</t>
  </si>
  <si>
    <t>September</t>
  </si>
  <si>
    <t>October</t>
  </si>
  <si>
    <t>November</t>
  </si>
  <si>
    <t>December</t>
  </si>
  <si>
    <t>Finance Cost</t>
  </si>
  <si>
    <t>Jan - Dec 2024</t>
  </si>
  <si>
    <t>Description</t>
  </si>
  <si>
    <t>Budget</t>
  </si>
  <si>
    <t>Actual</t>
  </si>
  <si>
    <t>Estimate</t>
  </si>
  <si>
    <t>Actual + Estimate</t>
  </si>
  <si>
    <t>Overdraft Interest</t>
  </si>
  <si>
    <t>Delayed Interest on IPP Payments Account</t>
  </si>
  <si>
    <t>Delayed Interest on NCRE Payments Account</t>
  </si>
  <si>
    <t>Debenture Interest Account</t>
  </si>
  <si>
    <t>Lease Interest Account</t>
  </si>
  <si>
    <t>Total</t>
  </si>
  <si>
    <t>January</t>
  </si>
  <si>
    <t>February</t>
  </si>
  <si>
    <t>March</t>
  </si>
  <si>
    <t>April</t>
  </si>
  <si>
    <t>May</t>
  </si>
  <si>
    <t>June</t>
  </si>
  <si>
    <t>Rs. Mn</t>
  </si>
  <si>
    <t>Interest Apportion</t>
  </si>
  <si>
    <t>Bank</t>
  </si>
  <si>
    <t>Facility Amount</t>
  </si>
  <si>
    <t xml:space="preserve">Grant Date </t>
  </si>
  <si>
    <t>Outstanding as at 01.01.2023</t>
  </si>
  <si>
    <t>Applicable Interest Rate</t>
  </si>
  <si>
    <t>Outsatanding as at 31.12.2023</t>
  </si>
  <si>
    <t>Gen</t>
  </si>
  <si>
    <t>Tran</t>
  </si>
  <si>
    <t>HQ</t>
  </si>
  <si>
    <t>Capital</t>
  </si>
  <si>
    <t>Interest</t>
  </si>
  <si>
    <t>People's Bank</t>
  </si>
  <si>
    <t>24.01.2018</t>
  </si>
  <si>
    <t>AWPLR + 1%</t>
  </si>
  <si>
    <t>02.03.2018</t>
  </si>
  <si>
    <t>31.05.2019</t>
  </si>
  <si>
    <t>AWPLR + 1.5%</t>
  </si>
  <si>
    <t>01.04.2020</t>
  </si>
  <si>
    <t>03.02.2022</t>
  </si>
  <si>
    <t>AWPLR+1.5%</t>
  </si>
  <si>
    <t>NSB (Syndicate)</t>
  </si>
  <si>
    <t>25.02.2019</t>
  </si>
  <si>
    <t>AWPLR + 2%</t>
  </si>
  <si>
    <t>NSB</t>
  </si>
  <si>
    <t>10.12.2020</t>
  </si>
  <si>
    <t>BOC</t>
  </si>
  <si>
    <t>12.7.2019</t>
  </si>
  <si>
    <t>03.03.2020</t>
  </si>
  <si>
    <t>26.06.2023</t>
  </si>
  <si>
    <t>AWPLR + 2.5%</t>
  </si>
  <si>
    <t>NTB</t>
  </si>
  <si>
    <t>26.01.2022</t>
  </si>
  <si>
    <t>AWPLR + 1.4%</t>
  </si>
  <si>
    <t>06.04.2023</t>
  </si>
  <si>
    <t>27.06.2023</t>
  </si>
  <si>
    <t>29.02.2024</t>
  </si>
  <si>
    <t>Seylan</t>
  </si>
  <si>
    <t>04.10.2019</t>
  </si>
  <si>
    <t>16.03.2023</t>
  </si>
  <si>
    <t>Total Term loans</t>
  </si>
  <si>
    <t>Note</t>
  </si>
  <si>
    <t>Please be noted that BOC 3Bn facility has obtained for the payment of LCs and within January to May 2024 LKR 470Mn disbursed.</t>
  </si>
  <si>
    <t>SSCL</t>
  </si>
  <si>
    <t>Unit</t>
  </si>
  <si>
    <t>MLKR(Mn)</t>
  </si>
  <si>
    <t>Loan Amount</t>
  </si>
  <si>
    <t>Interest (%)</t>
  </si>
  <si>
    <t>AWPLR+1%</t>
  </si>
  <si>
    <t>(Refer Annex 01)</t>
  </si>
  <si>
    <t>Sub Total</t>
  </si>
  <si>
    <t>NCRE Loan capital repayment (New loan)</t>
  </si>
  <si>
    <t>Note:</t>
  </si>
  <si>
    <t>AWPLR+2%</t>
  </si>
  <si>
    <t>AWPLR</t>
  </si>
  <si>
    <t xml:space="preserve"> Interest on Term loans</t>
  </si>
  <si>
    <t xml:space="preserve"> Interest on Term loans for the year 2024</t>
  </si>
  <si>
    <t>(Rs'Mn)</t>
  </si>
  <si>
    <t>Jan</t>
  </si>
  <si>
    <t>Feb</t>
  </si>
  <si>
    <t>Overdraft  Interest</t>
  </si>
  <si>
    <t>Long / Short Term Interest</t>
  </si>
  <si>
    <t xml:space="preserve">Interest on Project loans </t>
  </si>
  <si>
    <t xml:space="preserve">Debenture Interest Account                                  </t>
  </si>
  <si>
    <t xml:space="preserve">Lease Interest </t>
  </si>
  <si>
    <t>Delayed Interest on IPP Payments</t>
  </si>
  <si>
    <t>Delayed Interest on CPC Payments</t>
  </si>
  <si>
    <t>Samurdhi Loan Interest Expenditure</t>
  </si>
  <si>
    <t>Delayed Interest on NCRE Payments</t>
  </si>
  <si>
    <t>Delayed Interest Payments Issued - 2024 up to August</t>
  </si>
  <si>
    <t>Delayed Interest - IPP</t>
  </si>
  <si>
    <t>Delayed Interest - NCRE</t>
  </si>
  <si>
    <t xml:space="preserve">January </t>
  </si>
  <si>
    <t>Total (Rs. Mn)</t>
  </si>
  <si>
    <t>Budget 
(Submitted)</t>
  </si>
  <si>
    <t>Total Interest on Term loans</t>
  </si>
  <si>
    <t>Capital repayments loan obtain for IPP &amp; NCRE oustanding settlements</t>
  </si>
  <si>
    <t>Loan Amount (30 Bn)</t>
  </si>
  <si>
    <t>(Rs.Mn)</t>
  </si>
  <si>
    <t>Capital Repayments</t>
  </si>
  <si>
    <t>Budgeted Interest Cost for year 2024</t>
  </si>
  <si>
    <t>AWPLR 9.1%</t>
  </si>
  <si>
    <t>Loan Schedule 2024</t>
  </si>
  <si>
    <t>Outsatanding as at 31.08.2024</t>
  </si>
  <si>
    <t>Total Capital</t>
  </si>
  <si>
    <t>Total Interest</t>
  </si>
  <si>
    <t>04.06.2024</t>
  </si>
  <si>
    <t>Proposed Loans</t>
  </si>
  <si>
    <t>NCRE / Legacy Debt</t>
  </si>
  <si>
    <t>OD</t>
  </si>
  <si>
    <t>Please be noted that BOC 3Bn facility has obtained for the payment of LCs and that facility is not yet fully disbursed.</t>
  </si>
  <si>
    <t>OD Interest</t>
  </si>
  <si>
    <t>Mar</t>
  </si>
  <si>
    <t>Sep</t>
  </si>
  <si>
    <t>Oct</t>
  </si>
  <si>
    <t>Nov</t>
  </si>
  <si>
    <t>Dec</t>
  </si>
  <si>
    <t xml:space="preserve"> </t>
  </si>
  <si>
    <t>Working Capital Loan Budget - Year 2025</t>
  </si>
  <si>
    <t xml:space="preserve">Original Loan Amount </t>
  </si>
  <si>
    <t xml:space="preserve">Granted  Date </t>
  </si>
  <si>
    <t>As At 01.01.2024</t>
  </si>
  <si>
    <t>New Loans Obtained</t>
  </si>
  <si>
    <t>Repayment</t>
  </si>
  <si>
    <t xml:space="preserve"> As at 30-9-2024</t>
  </si>
  <si>
    <t>Oct, Nov, Dec Installment</t>
  </si>
  <si>
    <t>Margin</t>
  </si>
  <si>
    <t>As at 01.01.2025</t>
  </si>
  <si>
    <t>Apr</t>
  </si>
  <si>
    <t xml:space="preserve">June </t>
  </si>
  <si>
    <t xml:space="preserve">July </t>
  </si>
  <si>
    <t>Aug</t>
  </si>
  <si>
    <t>CPC Loan 1 - 8634</t>
  </si>
  <si>
    <t>2018-01-24</t>
  </si>
  <si>
    <t xml:space="preserve">Weekly AWPLR </t>
  </si>
  <si>
    <t>OD Loan - 8661</t>
  </si>
  <si>
    <t>2018-02-01</t>
  </si>
  <si>
    <t>People's Bank (Rs. 35B ) - 9349</t>
  </si>
  <si>
    <t>2019-05-30</t>
  </si>
  <si>
    <t>BOC (15B) - 7079</t>
  </si>
  <si>
    <t>2019-06.30</t>
  </si>
  <si>
    <t xml:space="preserve">Monthly AWPLR </t>
  </si>
  <si>
    <t>Seylan Loan (2BN) - 0001</t>
  </si>
  <si>
    <t>2019.10.04</t>
  </si>
  <si>
    <t>BOC 2020 5BN Loan - 6658</t>
  </si>
  <si>
    <t>2020.03.03</t>
  </si>
  <si>
    <t>People's Bank (10 Bn ) - 5252</t>
  </si>
  <si>
    <t>2020.04.01</t>
  </si>
  <si>
    <t>NSB 5BN Loan - 7323</t>
  </si>
  <si>
    <t>2020.12.09</t>
  </si>
  <si>
    <t xml:space="preserve">6 Month AWPLR </t>
  </si>
  <si>
    <t>NTB 3BN Loan - 5009</t>
  </si>
  <si>
    <t>2022.01.31</t>
  </si>
  <si>
    <t>People's Bank 17BN Loan - 13245</t>
  </si>
  <si>
    <t>2022.02.03</t>
  </si>
  <si>
    <t xml:space="preserve">Seylan Loan 2BN (2023)  </t>
  </si>
  <si>
    <t>2023.03.16</t>
  </si>
  <si>
    <t>NTB 3BN Loan (2023)</t>
  </si>
  <si>
    <t>2023.04.06</t>
  </si>
  <si>
    <t>BOC 3BN</t>
  </si>
  <si>
    <t>2023.06.26</t>
  </si>
  <si>
    <t>NTB 2BN</t>
  </si>
  <si>
    <t>2023.06.27</t>
  </si>
  <si>
    <t>NTB 3BN (2024)</t>
  </si>
  <si>
    <t>2024.02.29</t>
  </si>
  <si>
    <t>NTB 1BN (2024)</t>
  </si>
  <si>
    <t>Proposed 20Bn Loan for Debenture Payment</t>
  </si>
  <si>
    <t>2025.09.01</t>
  </si>
  <si>
    <t xml:space="preserve"> Interest on Term loans for the year 2025</t>
  </si>
  <si>
    <t>Weekly AWPLR + 2.5%</t>
  </si>
  <si>
    <t>Outsatanding as at 01.01.2025</t>
  </si>
  <si>
    <t>6 Month AWPLR +1.5%</t>
  </si>
  <si>
    <t>Monthly AWPLR +1.5%</t>
  </si>
  <si>
    <t>Monthly AWPLR +2%</t>
  </si>
  <si>
    <t>Monthly AWPLR + 2%</t>
  </si>
  <si>
    <t>Monthly AWPLR +1.4%</t>
  </si>
  <si>
    <t>Outsatanding as at 30.09.2024</t>
  </si>
  <si>
    <t>Oustanding as at 30.09.2024</t>
  </si>
  <si>
    <t>Oustanding as at 01.01.2025</t>
  </si>
  <si>
    <t>AWPLR was considered as 9.3% for forecasting  January to December 2025</t>
  </si>
  <si>
    <t>Total -2025</t>
  </si>
  <si>
    <t>Total -2024</t>
  </si>
  <si>
    <t>Estimates</t>
  </si>
  <si>
    <t>Loan Name</t>
  </si>
  <si>
    <t>Name of creditor</t>
  </si>
  <si>
    <t>Loan Balance As At 2024.09.30 (USD)</t>
  </si>
  <si>
    <t>USD</t>
  </si>
  <si>
    <t xml:space="preserve"> USD</t>
  </si>
  <si>
    <t>Green Power Dev. &amp; Energy Efficiency (ADB)-TR2(3483)</t>
  </si>
  <si>
    <t>ADB</t>
  </si>
  <si>
    <t>Green Power Dev. &amp; Energy Efficiency (ADB)-TR2(3484)</t>
  </si>
  <si>
    <t>Supporting Elec:Supply Reliability Improement Project-3409</t>
  </si>
  <si>
    <t>Mannar Wind Power Generation Pr:ADB 3585</t>
  </si>
  <si>
    <t>Broadland Hydro Power Project (ICBC)</t>
  </si>
  <si>
    <t>Industrial and Commercial Bank of China Ltd</t>
  </si>
  <si>
    <t>Broadland Hydro Power Project (HNB)</t>
  </si>
  <si>
    <t>Hatton National Bank Sri Lanka</t>
  </si>
  <si>
    <t>Actual Exchange Rate as at 30.09.2024</t>
  </si>
  <si>
    <t>Loan Balance As At 2024.09.30 (LKR)</t>
  </si>
  <si>
    <t>LKR</t>
  </si>
  <si>
    <t>Broadland Hydro Power Project (PB)</t>
  </si>
  <si>
    <t>2025 Total</t>
  </si>
  <si>
    <t>Project Loan Repayment Schedule-2025</t>
  </si>
  <si>
    <t>Transmission Licensee</t>
  </si>
  <si>
    <t xml:space="preserve"> Estimated Finance Cost on working  capital loans and other financing facilities of the Transmission Division</t>
  </si>
  <si>
    <t xml:space="preserve"> For the period Jan - Dec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</si>
</sst>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[$-409]mmm\-yy;@"/>
    <numFmt numFmtId="167" formatCode="_-* #,##0.00_-;\-* #,##0.00_-;_-* &quot;-&quot;??_-;_-@_-"/>
    <numFmt numFmtId="168" formatCode="0.0%"/>
    <numFmt numFmtId="169" formatCode="m/d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C00000"/>
      <name val="Times New Roman"/>
      <family val="1"/>
    </font>
    <font>
      <sz val="11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Times New Roman"/>
      <family val="1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</font>
    <font>
      <sz val="11"/>
      <color theme="4"/>
      <name val="Times New Roman"/>
      <family val="1"/>
    </font>
    <font>
      <b/>
      <sz val="11"/>
      <color theme="4"/>
      <name val="Times New Roman"/>
      <family val="1"/>
    </font>
    <font>
      <sz val="11"/>
      <color rgb="FF92D050"/>
      <name val="Times New Roman"/>
      <family val="1"/>
    </font>
    <font>
      <b/>
      <sz val="11"/>
      <color rgb="FF92D050"/>
      <name val="Times New Roman"/>
      <family val="1"/>
    </font>
    <font>
      <sz val="11"/>
      <color theme="7"/>
      <name val="Times New Roman"/>
      <family val="1"/>
    </font>
    <font>
      <b/>
      <sz val="11"/>
      <color theme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</cellStyleXfs>
  <cellXfs count="436">
    <xf numFmtId="0" fontId="0" fillId="0" borderId="0" xfId="0"/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43" fontId="5" fillId="0" borderId="0" xfId="1" applyFont="1" applyAlignment="1">
      <alignment vertical="center"/>
    </xf>
    <xf numFmtId="43" fontId="6" fillId="2" borderId="2" xfId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3" fillId="0" borderId="3" xfId="0" applyNumberFormat="1" applyFont="1" applyBorder="1" applyAlignment="1">
      <alignment vertical="center"/>
    </xf>
    <xf numFmtId="0" fontId="5" fillId="0" borderId="0" xfId="0" applyFont="1"/>
    <xf numFmtId="164" fontId="3" fillId="0" borderId="0" xfId="1" applyNumberFormat="1" applyFont="1"/>
    <xf numFmtId="0" fontId="3" fillId="0" borderId="0" xfId="0" applyFont="1"/>
    <xf numFmtId="9" fontId="5" fillId="0" borderId="0" xfId="0" applyNumberFormat="1" applyFont="1" applyAlignment="1">
      <alignment horizontal="center"/>
    </xf>
    <xf numFmtId="164" fontId="5" fillId="0" borderId="10" xfId="1" applyNumberFormat="1" applyFont="1" applyBorder="1" applyAlignment="1">
      <alignment horizontal="center"/>
    </xf>
    <xf numFmtId="43" fontId="5" fillId="0" borderId="10" xfId="1" applyFont="1" applyBorder="1"/>
    <xf numFmtId="0" fontId="5" fillId="0" borderId="10" xfId="0" applyFont="1" applyBorder="1" applyAlignment="1">
      <alignment horizontal="center"/>
    </xf>
    <xf numFmtId="164" fontId="5" fillId="0" borderId="10" xfId="1" applyNumberFormat="1" applyFont="1" applyBorder="1"/>
    <xf numFmtId="43" fontId="5" fillId="0" borderId="10" xfId="1" applyFont="1" applyFill="1" applyBorder="1"/>
    <xf numFmtId="164" fontId="10" fillId="0" borderId="0" xfId="1" applyNumberFormat="1" applyFont="1"/>
    <xf numFmtId="43" fontId="8" fillId="0" borderId="11" xfId="1" applyFont="1" applyBorder="1" applyAlignment="1">
      <alignment horizontal="left" vertical="center"/>
    </xf>
    <xf numFmtId="43" fontId="8" fillId="0" borderId="19" xfId="1" applyFont="1" applyBorder="1" applyAlignment="1">
      <alignment horizontal="left" vertical="center"/>
    </xf>
    <xf numFmtId="43" fontId="9" fillId="3" borderId="20" xfId="1" applyFont="1" applyFill="1" applyBorder="1" applyAlignment="1">
      <alignment horizontal="left" vertical="center"/>
    </xf>
    <xf numFmtId="43" fontId="8" fillId="0" borderId="24" xfId="1" applyFont="1" applyBorder="1" applyAlignment="1">
      <alignment horizontal="left" vertical="center"/>
    </xf>
    <xf numFmtId="43" fontId="8" fillId="0" borderId="17" xfId="1" applyFont="1" applyBorder="1" applyAlignment="1">
      <alignment horizontal="left" vertical="center"/>
    </xf>
    <xf numFmtId="164" fontId="3" fillId="0" borderId="26" xfId="0" applyNumberFormat="1" applyFont="1" applyBorder="1" applyAlignment="1">
      <alignment vertical="center"/>
    </xf>
    <xf numFmtId="164" fontId="8" fillId="0" borderId="17" xfId="1" applyNumberFormat="1" applyFont="1" applyBorder="1" applyAlignment="1">
      <alignment horizontal="left" vertical="center"/>
    </xf>
    <xf numFmtId="164" fontId="8" fillId="0" borderId="11" xfId="1" applyNumberFormat="1" applyFont="1" applyBorder="1" applyAlignment="1">
      <alignment horizontal="left" vertical="center"/>
    </xf>
    <xf numFmtId="10" fontId="8" fillId="0" borderId="19" xfId="1" applyNumberFormat="1" applyFont="1" applyBorder="1" applyAlignment="1">
      <alignment horizontal="left" vertical="center"/>
    </xf>
    <xf numFmtId="43" fontId="8" fillId="0" borderId="7" xfId="1" applyFont="1" applyBorder="1" applyAlignment="1">
      <alignment horizontal="left" vertical="center"/>
    </xf>
    <xf numFmtId="164" fontId="3" fillId="0" borderId="27" xfId="0" applyNumberFormat="1" applyFont="1" applyBorder="1" applyAlignment="1">
      <alignment vertical="center"/>
    </xf>
    <xf numFmtId="164" fontId="8" fillId="0" borderId="19" xfId="1" applyNumberFormat="1" applyFont="1" applyBorder="1" applyAlignment="1">
      <alignment horizontal="left" vertical="center"/>
    </xf>
    <xf numFmtId="0" fontId="3" fillId="0" borderId="10" xfId="0" applyFont="1" applyBorder="1"/>
    <xf numFmtId="164" fontId="3" fillId="0" borderId="10" xfId="1" applyNumberFormat="1" applyFont="1" applyFill="1" applyBorder="1"/>
    <xf numFmtId="164" fontId="3" fillId="0" borderId="14" xfId="1" applyNumberFormat="1" applyFont="1" applyFill="1" applyBorder="1"/>
    <xf numFmtId="43" fontId="8" fillId="0" borderId="10" xfId="1" applyFont="1" applyFill="1" applyBorder="1"/>
    <xf numFmtId="43" fontId="3" fillId="0" borderId="10" xfId="1" applyFont="1" applyFill="1" applyBorder="1"/>
    <xf numFmtId="2" fontId="3" fillId="0" borderId="10" xfId="0" applyNumberFormat="1" applyFont="1" applyBorder="1"/>
    <xf numFmtId="2" fontId="3" fillId="0" borderId="10" xfId="1" applyNumberFormat="1" applyFont="1" applyFill="1" applyBorder="1"/>
    <xf numFmtId="43" fontId="3" fillId="0" borderId="10" xfId="0" applyNumberFormat="1" applyFont="1" applyBorder="1"/>
    <xf numFmtId="2" fontId="3" fillId="0" borderId="14" xfId="1" applyNumberFormat="1" applyFont="1" applyFill="1" applyBorder="1"/>
    <xf numFmtId="14" fontId="3" fillId="0" borderId="10" xfId="0" applyNumberFormat="1" applyFont="1" applyBorder="1"/>
    <xf numFmtId="164" fontId="3" fillId="0" borderId="0" xfId="1" applyNumberFormat="1" applyFont="1" applyFill="1"/>
    <xf numFmtId="0" fontId="5" fillId="0" borderId="10" xfId="0" applyFont="1" applyBorder="1"/>
    <xf numFmtId="43" fontId="5" fillId="0" borderId="10" xfId="0" applyNumberFormat="1" applyFont="1" applyBorder="1"/>
    <xf numFmtId="43" fontId="7" fillId="0" borderId="0" xfId="1" applyFont="1" applyAlignment="1">
      <alignment vertical="center"/>
    </xf>
    <xf numFmtId="0" fontId="9" fillId="0" borderId="0" xfId="4" applyFont="1" applyProtection="1">
      <protection locked="0"/>
    </xf>
    <xf numFmtId="0" fontId="11" fillId="0" borderId="0" xfId="4"/>
    <xf numFmtId="0" fontId="13" fillId="0" borderId="0" xfId="4" applyFont="1" applyAlignment="1">
      <alignment horizontal="center"/>
    </xf>
    <xf numFmtId="0" fontId="14" fillId="0" borderId="0" xfId="4" applyFont="1" applyProtection="1">
      <protection locked="0"/>
    </xf>
    <xf numFmtId="43" fontId="0" fillId="0" borderId="0" xfId="3" applyFont="1"/>
    <xf numFmtId="43" fontId="11" fillId="0" borderId="28" xfId="4" applyNumberFormat="1" applyBorder="1"/>
    <xf numFmtId="43" fontId="13" fillId="0" borderId="0" xfId="3" applyFont="1" applyAlignment="1">
      <alignment horizontal="center"/>
    </xf>
    <xf numFmtId="43" fontId="11" fillId="0" borderId="0" xfId="4" applyNumberFormat="1"/>
    <xf numFmtId="43" fontId="0" fillId="0" borderId="28" xfId="3" applyFont="1" applyBorder="1"/>
    <xf numFmtId="43" fontId="0" fillId="0" borderId="0" xfId="1" applyFont="1"/>
    <xf numFmtId="43" fontId="0" fillId="0" borderId="0" xfId="0" applyNumberFormat="1"/>
    <xf numFmtId="17" fontId="7" fillId="2" borderId="1" xfId="1" applyNumberFormat="1" applyFont="1" applyFill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17" fontId="6" fillId="2" borderId="32" xfId="1" applyNumberFormat="1" applyFont="1" applyFill="1" applyBorder="1" applyAlignment="1">
      <alignment horizontal="center" vertical="center"/>
    </xf>
    <xf numFmtId="17" fontId="6" fillId="2" borderId="32" xfId="1" applyNumberFormat="1" applyFont="1" applyFill="1" applyBorder="1" applyAlignment="1">
      <alignment horizontal="center" vertical="center" wrapText="1"/>
    </xf>
    <xf numFmtId="43" fontId="8" fillId="0" borderId="32" xfId="1" applyFont="1" applyBorder="1" applyAlignment="1">
      <alignment horizontal="left" vertical="center"/>
    </xf>
    <xf numFmtId="164" fontId="3" fillId="0" borderId="3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43" fontId="8" fillId="3" borderId="4" xfId="1" applyFont="1" applyFill="1" applyBorder="1" applyAlignment="1">
      <alignment horizontal="left" vertical="center"/>
    </xf>
    <xf numFmtId="165" fontId="3" fillId="0" borderId="2" xfId="0" applyNumberFormat="1" applyFont="1" applyBorder="1" applyAlignment="1">
      <alignment vertical="center"/>
    </xf>
    <xf numFmtId="164" fontId="5" fillId="0" borderId="34" xfId="0" applyNumberFormat="1" applyFont="1" applyBorder="1" applyAlignment="1">
      <alignment vertical="center"/>
    </xf>
    <xf numFmtId="164" fontId="0" fillId="0" borderId="0" xfId="1" applyNumberFormat="1" applyFont="1"/>
    <xf numFmtId="164" fontId="0" fillId="0" borderId="0" xfId="0" applyNumberFormat="1"/>
    <xf numFmtId="0" fontId="3" fillId="0" borderId="5" xfId="0" applyFont="1" applyBorder="1"/>
    <xf numFmtId="43" fontId="5" fillId="0" borderId="5" xfId="1" applyFont="1" applyBorder="1" applyAlignment="1">
      <alignment horizontal="center" wrapText="1"/>
    </xf>
    <xf numFmtId="43" fontId="5" fillId="0" borderId="6" xfId="1" applyFont="1" applyBorder="1" applyAlignment="1">
      <alignment horizontal="center" wrapText="1"/>
    </xf>
    <xf numFmtId="43" fontId="5" fillId="0" borderId="35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3" fillId="0" borderId="7" xfId="0" applyFont="1" applyBorder="1"/>
    <xf numFmtId="43" fontId="5" fillId="0" borderId="8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0" fontId="0" fillId="0" borderId="7" xfId="0" applyBorder="1"/>
    <xf numFmtId="43" fontId="0" fillId="0" borderId="8" xfId="1" applyFont="1" applyBorder="1"/>
    <xf numFmtId="164" fontId="0" fillId="0" borderId="8" xfId="1" applyNumberFormat="1" applyFont="1" applyBorder="1"/>
    <xf numFmtId="0" fontId="0" fillId="0" borderId="8" xfId="0" applyBorder="1"/>
    <xf numFmtId="164" fontId="0" fillId="0" borderId="7" xfId="0" applyNumberFormat="1" applyBorder="1"/>
    <xf numFmtId="164" fontId="0" fillId="0" borderId="8" xfId="0" applyNumberFormat="1" applyBorder="1"/>
    <xf numFmtId="0" fontId="12" fillId="0" borderId="36" xfId="0" applyFont="1" applyBorder="1"/>
    <xf numFmtId="43" fontId="12" fillId="0" borderId="37" xfId="0" applyNumberFormat="1" applyFont="1" applyBorder="1"/>
    <xf numFmtId="43" fontId="12" fillId="0" borderId="38" xfId="0" applyNumberFormat="1" applyFont="1" applyBorder="1"/>
    <xf numFmtId="164" fontId="12" fillId="0" borderId="38" xfId="0" applyNumberFormat="1" applyFont="1" applyBorder="1"/>
    <xf numFmtId="0" fontId="16" fillId="0" borderId="0" xfId="0" applyFont="1"/>
    <xf numFmtId="164" fontId="3" fillId="0" borderId="40" xfId="0" applyNumberFormat="1" applyFont="1" applyBorder="1" applyAlignment="1">
      <alignment vertical="center"/>
    </xf>
    <xf numFmtId="164" fontId="5" fillId="0" borderId="19" xfId="0" applyNumberFormat="1" applyFont="1" applyBorder="1" applyAlignment="1">
      <alignment vertical="center"/>
    </xf>
    <xf numFmtId="164" fontId="5" fillId="0" borderId="20" xfId="0" applyNumberFormat="1" applyFont="1" applyBorder="1" applyAlignment="1">
      <alignment vertical="center"/>
    </xf>
    <xf numFmtId="164" fontId="3" fillId="0" borderId="39" xfId="0" applyNumberFormat="1" applyFont="1" applyBorder="1" applyAlignment="1">
      <alignment vertical="center"/>
    </xf>
    <xf numFmtId="164" fontId="5" fillId="0" borderId="33" xfId="0" applyNumberFormat="1" applyFont="1" applyBorder="1" applyAlignment="1">
      <alignment vertical="center"/>
    </xf>
    <xf numFmtId="17" fontId="6" fillId="2" borderId="26" xfId="1" applyNumberFormat="1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vertical="center"/>
    </xf>
    <xf numFmtId="164" fontId="3" fillId="0" borderId="24" xfId="0" applyNumberFormat="1" applyFont="1" applyBorder="1" applyAlignment="1">
      <alignment vertical="center"/>
    </xf>
    <xf numFmtId="164" fontId="3" fillId="0" borderId="41" xfId="0" applyNumberFormat="1" applyFont="1" applyBorder="1" applyAlignment="1">
      <alignment vertical="center"/>
    </xf>
    <xf numFmtId="164" fontId="3" fillId="0" borderId="42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43" fontId="9" fillId="0" borderId="20" xfId="1" applyFont="1" applyBorder="1" applyAlignment="1">
      <alignment horizontal="left" vertical="center"/>
    </xf>
    <xf numFmtId="43" fontId="17" fillId="0" borderId="10" xfId="1" applyFont="1" applyFill="1" applyBorder="1"/>
    <xf numFmtId="43" fontId="3" fillId="0" borderId="0" xfId="1" applyFont="1"/>
    <xf numFmtId="43" fontId="5" fillId="0" borderId="0" xfId="1" applyFont="1" applyAlignment="1">
      <alignment horizontal="center"/>
    </xf>
    <xf numFmtId="43" fontId="5" fillId="0" borderId="10" xfId="1" applyFont="1" applyBorder="1" applyAlignment="1">
      <alignment horizontal="center"/>
    </xf>
    <xf numFmtId="0" fontId="3" fillId="4" borderId="10" xfId="0" applyFont="1" applyFill="1" applyBorder="1"/>
    <xf numFmtId="164" fontId="3" fillId="4" borderId="10" xfId="1" applyNumberFormat="1" applyFont="1" applyFill="1" applyBorder="1"/>
    <xf numFmtId="164" fontId="3" fillId="4" borderId="14" xfId="1" applyNumberFormat="1" applyFont="1" applyFill="1" applyBorder="1"/>
    <xf numFmtId="43" fontId="3" fillId="4" borderId="10" xfId="1" applyFont="1" applyFill="1" applyBorder="1"/>
    <xf numFmtId="43" fontId="8" fillId="4" borderId="10" xfId="1" applyFont="1" applyFill="1" applyBorder="1"/>
    <xf numFmtId="43" fontId="5" fillId="4" borderId="10" xfId="1" applyFont="1" applyFill="1" applyBorder="1"/>
    <xf numFmtId="0" fontId="3" fillId="5" borderId="10" xfId="0" applyFont="1" applyFill="1" applyBorder="1"/>
    <xf numFmtId="164" fontId="3" fillId="5" borderId="10" xfId="1" applyNumberFormat="1" applyFont="1" applyFill="1" applyBorder="1"/>
    <xf numFmtId="164" fontId="3" fillId="5" borderId="14" xfId="1" applyNumberFormat="1" applyFont="1" applyFill="1" applyBorder="1"/>
    <xf numFmtId="43" fontId="3" fillId="5" borderId="10" xfId="1" applyFont="1" applyFill="1" applyBorder="1"/>
    <xf numFmtId="43" fontId="8" fillId="5" borderId="10" xfId="1" applyFont="1" applyFill="1" applyBorder="1"/>
    <xf numFmtId="43" fontId="5" fillId="5" borderId="10" xfId="1" applyFont="1" applyFill="1" applyBorder="1"/>
    <xf numFmtId="0" fontId="3" fillId="6" borderId="10" xfId="0" applyFont="1" applyFill="1" applyBorder="1"/>
    <xf numFmtId="164" fontId="3" fillId="6" borderId="10" xfId="1" applyNumberFormat="1" applyFont="1" applyFill="1" applyBorder="1"/>
    <xf numFmtId="164" fontId="3" fillId="6" borderId="14" xfId="1" applyNumberFormat="1" applyFont="1" applyFill="1" applyBorder="1"/>
    <xf numFmtId="43" fontId="3" fillId="6" borderId="10" xfId="1" applyFont="1" applyFill="1" applyBorder="1"/>
    <xf numFmtId="43" fontId="8" fillId="6" borderId="10" xfId="1" applyFont="1" applyFill="1" applyBorder="1"/>
    <xf numFmtId="43" fontId="5" fillId="6" borderId="10" xfId="1" applyFont="1" applyFill="1" applyBorder="1"/>
    <xf numFmtId="164" fontId="3" fillId="0" borderId="10" xfId="1" applyNumberFormat="1" applyFont="1" applyBorder="1"/>
    <xf numFmtId="164" fontId="3" fillId="0" borderId="14" xfId="1" applyNumberFormat="1" applyFont="1" applyBorder="1"/>
    <xf numFmtId="43" fontId="3" fillId="0" borderId="14" xfId="1" applyFont="1" applyBorder="1"/>
    <xf numFmtId="43" fontId="3" fillId="0" borderId="10" xfId="1" applyFont="1" applyBorder="1"/>
    <xf numFmtId="43" fontId="8" fillId="0" borderId="10" xfId="1" applyFont="1" applyBorder="1"/>
    <xf numFmtId="0" fontId="3" fillId="7" borderId="10" xfId="0" applyFont="1" applyFill="1" applyBorder="1"/>
    <xf numFmtId="164" fontId="3" fillId="7" borderId="10" xfId="1" applyNumberFormat="1" applyFont="1" applyFill="1" applyBorder="1"/>
    <xf numFmtId="164" fontId="3" fillId="7" borderId="14" xfId="1" applyNumberFormat="1" applyFont="1" applyFill="1" applyBorder="1"/>
    <xf numFmtId="43" fontId="3" fillId="7" borderId="10" xfId="1" applyFont="1" applyFill="1" applyBorder="1"/>
    <xf numFmtId="43" fontId="8" fillId="7" borderId="10" xfId="1" applyFont="1" applyFill="1" applyBorder="1"/>
    <xf numFmtId="43" fontId="5" fillId="7" borderId="10" xfId="1" applyFont="1" applyFill="1" applyBorder="1"/>
    <xf numFmtId="14" fontId="3" fillId="6" borderId="10" xfId="0" applyNumberFormat="1" applyFont="1" applyFill="1" applyBorder="1"/>
    <xf numFmtId="43" fontId="3" fillId="5" borderId="14" xfId="1" applyFont="1" applyFill="1" applyBorder="1"/>
    <xf numFmtId="0" fontId="17" fillId="0" borderId="0" xfId="0" applyFont="1"/>
    <xf numFmtId="164" fontId="3" fillId="0" borderId="0" xfId="1" applyNumberFormat="1" applyFont="1" applyFill="1" applyBorder="1"/>
    <xf numFmtId="43" fontId="3" fillId="0" borderId="0" xfId="1" applyFont="1" applyFill="1" applyBorder="1"/>
    <xf numFmtId="43" fontId="5" fillId="0" borderId="0" xfId="1" applyFont="1" applyFill="1" applyBorder="1"/>
    <xf numFmtId="43" fontId="3" fillId="0" borderId="0" xfId="0" applyNumberFormat="1" applyFont="1"/>
    <xf numFmtId="43" fontId="8" fillId="0" borderId="0" xfId="1" applyFont="1" applyFill="1" applyBorder="1"/>
    <xf numFmtId="43" fontId="3" fillId="0" borderId="0" xfId="1" applyFont="1" applyBorder="1"/>
    <xf numFmtId="43" fontId="5" fillId="0" borderId="0" xfId="1" applyFont="1"/>
    <xf numFmtId="0" fontId="3" fillId="8" borderId="10" xfId="0" applyFont="1" applyFill="1" applyBorder="1"/>
    <xf numFmtId="164" fontId="3" fillId="8" borderId="10" xfId="1" applyNumberFormat="1" applyFont="1" applyFill="1" applyBorder="1"/>
    <xf numFmtId="14" fontId="3" fillId="8" borderId="10" xfId="0" applyNumberFormat="1" applyFont="1" applyFill="1" applyBorder="1"/>
    <xf numFmtId="43" fontId="3" fillId="8" borderId="10" xfId="1" applyFont="1" applyFill="1" applyBorder="1"/>
    <xf numFmtId="43" fontId="8" fillId="8" borderId="10" xfId="1" applyFont="1" applyFill="1" applyBorder="1"/>
    <xf numFmtId="43" fontId="5" fillId="8" borderId="10" xfId="1" applyFont="1" applyFill="1" applyBorder="1"/>
    <xf numFmtId="0" fontId="3" fillId="9" borderId="10" xfId="0" applyFont="1" applyFill="1" applyBorder="1"/>
    <xf numFmtId="164" fontId="3" fillId="9" borderId="10" xfId="1" applyNumberFormat="1" applyFont="1" applyFill="1" applyBorder="1"/>
    <xf numFmtId="14" fontId="3" fillId="9" borderId="10" xfId="0" applyNumberFormat="1" applyFont="1" applyFill="1" applyBorder="1"/>
    <xf numFmtId="43" fontId="3" fillId="9" borderId="10" xfId="1" applyFont="1" applyFill="1" applyBorder="1"/>
    <xf numFmtId="43" fontId="8" fillId="9" borderId="10" xfId="1" applyFont="1" applyFill="1" applyBorder="1"/>
    <xf numFmtId="43" fontId="5" fillId="9" borderId="10" xfId="1" applyFont="1" applyFill="1" applyBorder="1"/>
    <xf numFmtId="43" fontId="8" fillId="0" borderId="0" xfId="1" applyFont="1"/>
    <xf numFmtId="43" fontId="17" fillId="0" borderId="0" xfId="1" applyFont="1" applyFill="1" applyBorder="1"/>
    <xf numFmtId="0" fontId="10" fillId="0" borderId="10" xfId="0" applyFont="1" applyBorder="1"/>
    <xf numFmtId="164" fontId="10" fillId="0" borderId="10" xfId="1" applyNumberFormat="1" applyFont="1" applyFill="1" applyBorder="1"/>
    <xf numFmtId="164" fontId="10" fillId="0" borderId="14" xfId="1" applyNumberFormat="1" applyFont="1" applyFill="1" applyBorder="1"/>
    <xf numFmtId="0" fontId="10" fillId="0" borderId="14" xfId="0" applyFont="1" applyBorder="1"/>
    <xf numFmtId="43" fontId="10" fillId="0" borderId="10" xfId="1" applyFont="1" applyFill="1" applyBorder="1"/>
    <xf numFmtId="2" fontId="10" fillId="0" borderId="14" xfId="0" applyNumberFormat="1" applyFont="1" applyBorder="1"/>
    <xf numFmtId="2" fontId="10" fillId="0" borderId="14" xfId="1" applyNumberFormat="1" applyFont="1" applyFill="1" applyBorder="1"/>
    <xf numFmtId="43" fontId="10" fillId="0" borderId="10" xfId="0" applyNumberFormat="1" applyFont="1" applyBorder="1"/>
    <xf numFmtId="0" fontId="10" fillId="0" borderId="0" xfId="0" applyFont="1"/>
    <xf numFmtId="43" fontId="10" fillId="5" borderId="10" xfId="1" applyFont="1" applyFill="1" applyBorder="1"/>
    <xf numFmtId="2" fontId="17" fillId="0" borderId="10" xfId="1" applyNumberFormat="1" applyFont="1" applyFill="1" applyBorder="1"/>
    <xf numFmtId="2" fontId="3" fillId="0" borderId="12" xfId="0" applyNumberFormat="1" applyFont="1" applyBorder="1"/>
    <xf numFmtId="2" fontId="3" fillId="0" borderId="11" xfId="1" applyNumberFormat="1" applyFont="1" applyFill="1" applyBorder="1"/>
    <xf numFmtId="2" fontId="3" fillId="0" borderId="12" xfId="1" applyNumberFormat="1" applyFont="1" applyFill="1" applyBorder="1"/>
    <xf numFmtId="2" fontId="10" fillId="0" borderId="11" xfId="0" applyNumberFormat="1" applyFont="1" applyBorder="1"/>
    <xf numFmtId="2" fontId="10" fillId="0" borderId="10" xfId="0" applyNumberFormat="1" applyFont="1" applyBorder="1"/>
    <xf numFmtId="2" fontId="17" fillId="0" borderId="12" xfId="1" applyNumberFormat="1" applyFont="1" applyFill="1" applyBorder="1"/>
    <xf numFmtId="43" fontId="10" fillId="4" borderId="10" xfId="1" applyFont="1" applyFill="1" applyBorder="1"/>
    <xf numFmtId="43" fontId="10" fillId="0" borderId="0" xfId="1" applyFont="1" applyFill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43" fontId="9" fillId="0" borderId="0" xfId="1" applyFont="1" applyAlignment="1">
      <alignment vertical="center"/>
    </xf>
    <xf numFmtId="43" fontId="8" fillId="0" borderId="0" xfId="1" applyFont="1" applyAlignment="1">
      <alignment vertical="center"/>
    </xf>
    <xf numFmtId="43" fontId="7" fillId="2" borderId="1" xfId="1" applyFont="1" applyFill="1" applyBorder="1" applyAlignment="1">
      <alignment horizontal="center" vertical="center" wrapText="1"/>
    </xf>
    <xf numFmtId="17" fontId="7" fillId="2" borderId="2" xfId="1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164" fontId="8" fillId="0" borderId="0" xfId="1" applyNumberFormat="1" applyFont="1" applyAlignment="1">
      <alignment vertical="center"/>
    </xf>
    <xf numFmtId="43" fontId="8" fillId="0" borderId="0" xfId="0" applyNumberFormat="1" applyFont="1" applyAlignment="1">
      <alignment vertical="center"/>
    </xf>
    <xf numFmtId="164" fontId="9" fillId="0" borderId="0" xfId="1" applyNumberFormat="1" applyFont="1" applyAlignment="1">
      <alignment vertical="center"/>
    </xf>
    <xf numFmtId="165" fontId="8" fillId="0" borderId="25" xfId="0" applyNumberFormat="1" applyFont="1" applyBorder="1" applyAlignment="1">
      <alignment vertical="center"/>
    </xf>
    <xf numFmtId="164" fontId="8" fillId="0" borderId="25" xfId="0" applyNumberFormat="1" applyFont="1" applyBorder="1" applyAlignment="1">
      <alignment vertical="center"/>
    </xf>
    <xf numFmtId="164" fontId="8" fillId="0" borderId="26" xfId="0" applyNumberFormat="1" applyFont="1" applyBorder="1" applyAlignment="1">
      <alignment vertical="center"/>
    </xf>
    <xf numFmtId="0" fontId="20" fillId="0" borderId="0" xfId="0" applyFont="1"/>
    <xf numFmtId="164" fontId="20" fillId="0" borderId="0" xfId="1" applyNumberFormat="1" applyFont="1"/>
    <xf numFmtId="164" fontId="20" fillId="0" borderId="0" xfId="0" applyNumberFormat="1" applyFont="1"/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43" fontId="22" fillId="0" borderId="0" xfId="1" applyFont="1"/>
    <xf numFmtId="43" fontId="21" fillId="0" borderId="28" xfId="1" applyFont="1" applyBorder="1"/>
    <xf numFmtId="43" fontId="22" fillId="0" borderId="0" xfId="0" applyNumberFormat="1" applyFont="1"/>
    <xf numFmtId="0" fontId="23" fillId="0" borderId="0" xfId="0" applyFont="1"/>
    <xf numFmtId="0" fontId="21" fillId="0" borderId="1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10" xfId="0" applyFont="1" applyBorder="1"/>
    <xf numFmtId="43" fontId="22" fillId="0" borderId="10" xfId="0" applyNumberFormat="1" applyFont="1" applyBorder="1"/>
    <xf numFmtId="43" fontId="22" fillId="0" borderId="10" xfId="1" applyFont="1" applyBorder="1"/>
    <xf numFmtId="43" fontId="21" fillId="0" borderId="10" xfId="0" applyNumberFormat="1" applyFont="1" applyBorder="1"/>
    <xf numFmtId="0" fontId="21" fillId="0" borderId="10" xfId="0" applyFont="1" applyBorder="1" applyAlignment="1">
      <alignment horizontal="left"/>
    </xf>
    <xf numFmtId="43" fontId="7" fillId="2" borderId="3" xfId="1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/>
    <xf numFmtId="164" fontId="8" fillId="0" borderId="24" xfId="1" applyNumberFormat="1" applyFont="1" applyBorder="1" applyAlignment="1">
      <alignment horizontal="left" vertical="center"/>
    </xf>
    <xf numFmtId="43" fontId="8" fillId="0" borderId="25" xfId="1" applyFont="1" applyBorder="1" applyAlignment="1">
      <alignment vertical="center"/>
    </xf>
    <xf numFmtId="164" fontId="9" fillId="0" borderId="26" xfId="0" applyNumberFormat="1" applyFont="1" applyBorder="1" applyAlignment="1">
      <alignment vertical="center"/>
    </xf>
    <xf numFmtId="43" fontId="9" fillId="0" borderId="5" xfId="1" applyFont="1" applyBorder="1" applyAlignment="1">
      <alignment horizontal="left" vertical="center"/>
    </xf>
    <xf numFmtId="43" fontId="8" fillId="0" borderId="5" xfId="1" applyFont="1" applyBorder="1" applyAlignment="1">
      <alignment horizontal="left" vertical="center"/>
    </xf>
    <xf numFmtId="43" fontId="8" fillId="0" borderId="45" xfId="1" applyFont="1" applyBorder="1" applyAlignment="1">
      <alignment horizontal="left" vertical="center"/>
    </xf>
    <xf numFmtId="43" fontId="8" fillId="0" borderId="46" xfId="1" applyFont="1" applyBorder="1" applyAlignment="1">
      <alignment horizontal="left" vertical="center"/>
    </xf>
    <xf numFmtId="43" fontId="8" fillId="0" borderId="47" xfId="1" applyFont="1" applyBorder="1" applyAlignment="1">
      <alignment horizontal="left" vertical="center"/>
    </xf>
    <xf numFmtId="164" fontId="9" fillId="0" borderId="47" xfId="0" applyNumberFormat="1" applyFont="1" applyBorder="1" applyAlignment="1">
      <alignment vertical="center"/>
    </xf>
    <xf numFmtId="164" fontId="9" fillId="0" borderId="46" xfId="0" applyNumberFormat="1" applyFont="1" applyBorder="1" applyAlignment="1">
      <alignment vertical="center"/>
    </xf>
    <xf numFmtId="43" fontId="9" fillId="3" borderId="5" xfId="1" applyFont="1" applyFill="1" applyBorder="1" applyAlignment="1">
      <alignment horizontal="left" vertical="center"/>
    </xf>
    <xf numFmtId="43" fontId="9" fillId="3" borderId="48" xfId="1" applyFont="1" applyFill="1" applyBorder="1" applyAlignment="1">
      <alignment horizontal="left" vertical="center"/>
    </xf>
    <xf numFmtId="43" fontId="20" fillId="0" borderId="0" xfId="1" applyFont="1"/>
    <xf numFmtId="43" fontId="21" fillId="0" borderId="0" xfId="1" applyFont="1" applyAlignment="1">
      <alignment horizontal="center"/>
    </xf>
    <xf numFmtId="43" fontId="21" fillId="0" borderId="0" xfId="1" applyFont="1"/>
    <xf numFmtId="164" fontId="10" fillId="0" borderId="0" xfId="0" applyNumberFormat="1" applyFont="1" applyAlignment="1">
      <alignment vertical="center"/>
    </xf>
    <xf numFmtId="43" fontId="10" fillId="0" borderId="0" xfId="1" applyFont="1" applyAlignment="1">
      <alignment vertical="center"/>
    </xf>
    <xf numFmtId="0" fontId="3" fillId="5" borderId="13" xfId="0" applyFont="1" applyFill="1" applyBorder="1"/>
    <xf numFmtId="164" fontId="3" fillId="5" borderId="13" xfId="1" applyNumberFormat="1" applyFont="1" applyFill="1" applyBorder="1"/>
    <xf numFmtId="164" fontId="3" fillId="5" borderId="49" xfId="1" applyNumberFormat="1" applyFont="1" applyFill="1" applyBorder="1"/>
    <xf numFmtId="43" fontId="3" fillId="5" borderId="13" xfId="1" applyFont="1" applyFill="1" applyBorder="1"/>
    <xf numFmtId="43" fontId="8" fillId="5" borderId="13" xfId="1" applyFont="1" applyFill="1" applyBorder="1"/>
    <xf numFmtId="43" fontId="5" fillId="5" borderId="13" xfId="1" applyFont="1" applyFill="1" applyBorder="1"/>
    <xf numFmtId="0" fontId="3" fillId="0" borderId="13" xfId="0" applyFont="1" applyBorder="1"/>
    <xf numFmtId="43" fontId="3" fillId="0" borderId="13" xfId="0" applyNumberFormat="1" applyFont="1" applyBorder="1"/>
    <xf numFmtId="0" fontId="3" fillId="0" borderId="28" xfId="0" applyFont="1" applyBorder="1"/>
    <xf numFmtId="164" fontId="3" fillId="0" borderId="28" xfId="1" applyNumberFormat="1" applyFont="1" applyBorder="1"/>
    <xf numFmtId="43" fontId="3" fillId="0" borderId="28" xfId="1" applyFont="1" applyBorder="1"/>
    <xf numFmtId="43" fontId="10" fillId="0" borderId="28" xfId="1" applyFont="1" applyBorder="1"/>
    <xf numFmtId="0" fontId="3" fillId="0" borderId="16" xfId="0" applyFont="1" applyBorder="1"/>
    <xf numFmtId="164" fontId="3" fillId="0" borderId="16" xfId="1" applyNumberFormat="1" applyFont="1" applyBorder="1"/>
    <xf numFmtId="43" fontId="3" fillId="0" borderId="16" xfId="1" applyFont="1" applyBorder="1"/>
    <xf numFmtId="43" fontId="8" fillId="0" borderId="16" xfId="1" applyFont="1" applyBorder="1"/>
    <xf numFmtId="43" fontId="5" fillId="0" borderId="16" xfId="1" applyFont="1" applyBorder="1"/>
    <xf numFmtId="168" fontId="3" fillId="0" borderId="0" xfId="5" applyNumberFormat="1" applyFont="1"/>
    <xf numFmtId="10" fontId="3" fillId="0" borderId="0" xfId="0" applyNumberFormat="1" applyFont="1"/>
    <xf numFmtId="0" fontId="9" fillId="0" borderId="10" xfId="4" applyFont="1" applyBorder="1" applyAlignment="1">
      <alignment horizontal="center" vertical="center"/>
    </xf>
    <xf numFmtId="0" fontId="5" fillId="0" borderId="10" xfId="6" applyFont="1" applyFill="1" applyBorder="1" applyAlignment="1">
      <alignment horizontal="center" vertical="center" wrapText="1"/>
    </xf>
    <xf numFmtId="168" fontId="5" fillId="0" borderId="10" xfId="5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/>
    </xf>
    <xf numFmtId="0" fontId="8" fillId="0" borderId="10" xfId="4" applyFont="1" applyBorder="1"/>
    <xf numFmtId="43" fontId="8" fillId="0" borderId="10" xfId="3" applyFont="1" applyFill="1" applyBorder="1"/>
    <xf numFmtId="0" fontId="9" fillId="0" borderId="10" xfId="4" applyFont="1" applyBorder="1"/>
    <xf numFmtId="168" fontId="3" fillId="0" borderId="10" xfId="5" applyNumberFormat="1" applyFont="1" applyBorder="1"/>
    <xf numFmtId="43" fontId="8" fillId="0" borderId="10" xfId="3" applyFont="1" applyFill="1" applyBorder="1" applyAlignment="1">
      <alignment horizontal="center"/>
    </xf>
    <xf numFmtId="169" fontId="8" fillId="0" borderId="10" xfId="3" applyNumberFormat="1" applyFont="1" applyFill="1" applyBorder="1"/>
    <xf numFmtId="169" fontId="8" fillId="11" borderId="10" xfId="3" applyNumberFormat="1" applyFont="1" applyFill="1" applyBorder="1"/>
    <xf numFmtId="164" fontId="8" fillId="0" borderId="10" xfId="3" applyNumberFormat="1" applyFont="1" applyFill="1" applyBorder="1"/>
    <xf numFmtId="0" fontId="3" fillId="0" borderId="10" xfId="6" applyFont="1" applyFill="1" applyBorder="1" applyProtection="1"/>
    <xf numFmtId="168" fontId="8" fillId="0" borderId="10" xfId="5" applyNumberFormat="1" applyFont="1" applyFill="1" applyBorder="1"/>
    <xf numFmtId="43" fontId="9" fillId="0" borderId="10" xfId="3" applyFont="1" applyFill="1" applyBorder="1"/>
    <xf numFmtId="0" fontId="8" fillId="0" borderId="0" xfId="4" applyFont="1"/>
    <xf numFmtId="164" fontId="3" fillId="0" borderId="0" xfId="0" applyNumberFormat="1" applyFont="1"/>
    <xf numFmtId="169" fontId="10" fillId="0" borderId="10" xfId="3" quotePrefix="1" applyNumberFormat="1" applyFont="1" applyFill="1" applyBorder="1"/>
    <xf numFmtId="0" fontId="10" fillId="0" borderId="10" xfId="4" applyFont="1" applyBorder="1"/>
    <xf numFmtId="43" fontId="10" fillId="0" borderId="10" xfId="3" applyFont="1" applyFill="1" applyBorder="1"/>
    <xf numFmtId="0" fontId="17" fillId="0" borderId="10" xfId="4" applyFont="1" applyBorder="1"/>
    <xf numFmtId="43" fontId="10" fillId="0" borderId="10" xfId="1" applyFont="1" applyBorder="1"/>
    <xf numFmtId="168" fontId="10" fillId="0" borderId="10" xfId="5" applyNumberFormat="1" applyFont="1" applyBorder="1"/>
    <xf numFmtId="43" fontId="17" fillId="0" borderId="10" xfId="0" applyNumberFormat="1" applyFont="1" applyBorder="1"/>
    <xf numFmtId="43" fontId="10" fillId="0" borderId="10" xfId="3" applyFont="1" applyFill="1" applyBorder="1" applyAlignment="1">
      <alignment horizontal="center"/>
    </xf>
    <xf numFmtId="169" fontId="10" fillId="0" borderId="10" xfId="3" applyNumberFormat="1" applyFont="1" applyFill="1" applyBorder="1"/>
    <xf numFmtId="43" fontId="3" fillId="0" borderId="12" xfId="1" applyFont="1" applyBorder="1"/>
    <xf numFmtId="0" fontId="25" fillId="0" borderId="10" xfId="4" applyFont="1" applyBorder="1"/>
    <xf numFmtId="169" fontId="25" fillId="0" borderId="10" xfId="3" applyNumberFormat="1" applyFont="1" applyFill="1" applyBorder="1"/>
    <xf numFmtId="43" fontId="25" fillId="0" borderId="10" xfId="3" applyFont="1" applyFill="1" applyBorder="1"/>
    <xf numFmtId="43" fontId="25" fillId="0" borderId="10" xfId="3" applyFont="1" applyFill="1" applyBorder="1" applyAlignment="1">
      <alignment horizontal="center"/>
    </xf>
    <xf numFmtId="0" fontId="26" fillId="0" borderId="10" xfId="4" applyFont="1" applyBorder="1"/>
    <xf numFmtId="43" fontId="25" fillId="0" borderId="10" xfId="1" applyFont="1" applyBorder="1"/>
    <xf numFmtId="168" fontId="25" fillId="0" borderId="10" xfId="5" applyNumberFormat="1" applyFont="1" applyBorder="1"/>
    <xf numFmtId="43" fontId="25" fillId="0" borderId="10" xfId="0" applyNumberFormat="1" applyFont="1" applyBorder="1"/>
    <xf numFmtId="43" fontId="26" fillId="0" borderId="10" xfId="0" applyNumberFormat="1" applyFont="1" applyBorder="1"/>
    <xf numFmtId="0" fontId="25" fillId="0" borderId="0" xfId="0" applyFont="1"/>
    <xf numFmtId="0" fontId="27" fillId="0" borderId="10" xfId="4" applyFont="1" applyBorder="1"/>
    <xf numFmtId="169" fontId="27" fillId="0" borderId="10" xfId="3" applyNumberFormat="1" applyFont="1" applyFill="1" applyBorder="1"/>
    <xf numFmtId="43" fontId="27" fillId="0" borderId="10" xfId="3" applyFont="1" applyFill="1" applyBorder="1" applyAlignment="1">
      <alignment horizontal="center"/>
    </xf>
    <xf numFmtId="43" fontId="27" fillId="0" borderId="10" xfId="3" applyFont="1" applyFill="1" applyBorder="1"/>
    <xf numFmtId="0" fontId="28" fillId="0" borderId="10" xfId="4" applyFont="1" applyBorder="1"/>
    <xf numFmtId="43" fontId="27" fillId="0" borderId="10" xfId="1" applyFont="1" applyBorder="1"/>
    <xf numFmtId="168" fontId="27" fillId="0" borderId="10" xfId="5" applyNumberFormat="1" applyFont="1" applyBorder="1"/>
    <xf numFmtId="43" fontId="27" fillId="0" borderId="10" xfId="0" applyNumberFormat="1" applyFont="1" applyBorder="1"/>
    <xf numFmtId="43" fontId="28" fillId="0" borderId="10" xfId="0" applyNumberFormat="1" applyFont="1" applyBorder="1"/>
    <xf numFmtId="0" fontId="27" fillId="0" borderId="0" xfId="0" applyFont="1"/>
    <xf numFmtId="0" fontId="29" fillId="0" borderId="10" xfId="4" applyFont="1" applyBorder="1"/>
    <xf numFmtId="169" fontId="29" fillId="0" borderId="10" xfId="3" applyNumberFormat="1" applyFont="1" applyFill="1" applyBorder="1"/>
    <xf numFmtId="43" fontId="29" fillId="0" borderId="10" xfId="3" applyFont="1" applyFill="1" applyBorder="1"/>
    <xf numFmtId="43" fontId="29" fillId="0" borderId="10" xfId="3" applyFont="1" applyFill="1" applyBorder="1" applyAlignment="1">
      <alignment horizontal="center"/>
    </xf>
    <xf numFmtId="0" fontId="30" fillId="0" borderId="10" xfId="4" applyFont="1" applyBorder="1"/>
    <xf numFmtId="43" fontId="29" fillId="0" borderId="10" xfId="1" applyFont="1" applyBorder="1"/>
    <xf numFmtId="168" fontId="29" fillId="0" borderId="10" xfId="5" applyNumberFormat="1" applyFont="1" applyBorder="1"/>
    <xf numFmtId="43" fontId="29" fillId="0" borderId="10" xfId="0" applyNumberFormat="1" applyFont="1" applyBorder="1"/>
    <xf numFmtId="43" fontId="30" fillId="0" borderId="10" xfId="0" applyNumberFormat="1" applyFont="1" applyBorder="1"/>
    <xf numFmtId="0" fontId="29" fillId="0" borderId="0" xfId="0" applyFont="1"/>
    <xf numFmtId="0" fontId="3" fillId="0" borderId="14" xfId="0" applyFont="1" applyBorder="1"/>
    <xf numFmtId="43" fontId="3" fillId="0" borderId="14" xfId="1" applyFont="1" applyFill="1" applyBorder="1"/>
    <xf numFmtId="43" fontId="3" fillId="0" borderId="11" xfId="1" applyFont="1" applyBorder="1"/>
    <xf numFmtId="10" fontId="5" fillId="0" borderId="0" xfId="0" applyNumberFormat="1" applyFont="1"/>
    <xf numFmtId="43" fontId="3" fillId="0" borderId="14" xfId="0" applyNumberFormat="1" applyFont="1" applyBorder="1"/>
    <xf numFmtId="43" fontId="8" fillId="3" borderId="19" xfId="1" applyFont="1" applyFill="1" applyBorder="1" applyAlignment="1">
      <alignment horizontal="left" vertical="center"/>
    </xf>
    <xf numFmtId="43" fontId="8" fillId="3" borderId="11" xfId="1" applyFont="1" applyFill="1" applyBorder="1" applyAlignment="1">
      <alignment horizontal="left" vertical="center"/>
    </xf>
    <xf numFmtId="164" fontId="8" fillId="3" borderId="19" xfId="1" applyNumberFormat="1" applyFont="1" applyFill="1" applyBorder="1" applyAlignment="1">
      <alignment horizontal="left" vertical="center"/>
    </xf>
    <xf numFmtId="164" fontId="8" fillId="3" borderId="11" xfId="1" applyNumberFormat="1" applyFont="1" applyFill="1" applyBorder="1" applyAlignment="1">
      <alignment horizontal="left" vertical="center"/>
    </xf>
    <xf numFmtId="0" fontId="8" fillId="0" borderId="10" xfId="0" applyFont="1" applyBorder="1"/>
    <xf numFmtId="164" fontId="8" fillId="0" borderId="10" xfId="1" applyNumberFormat="1" applyFont="1" applyFill="1" applyBorder="1"/>
    <xf numFmtId="164" fontId="8" fillId="0" borderId="14" xfId="1" applyNumberFormat="1" applyFont="1" applyFill="1" applyBorder="1"/>
    <xf numFmtId="14" fontId="8" fillId="0" borderId="10" xfId="0" applyNumberFormat="1" applyFont="1" applyBorder="1"/>
    <xf numFmtId="43" fontId="8" fillId="0" borderId="14" xfId="1" applyFont="1" applyBorder="1"/>
    <xf numFmtId="43" fontId="8" fillId="0" borderId="14" xfId="1" applyFont="1" applyFill="1" applyBorder="1"/>
    <xf numFmtId="43" fontId="8" fillId="0" borderId="11" xfId="1" applyFont="1" applyBorder="1"/>
    <xf numFmtId="43" fontId="8" fillId="0" borderId="10" xfId="0" applyNumberFormat="1" applyFont="1" applyBorder="1"/>
    <xf numFmtId="43" fontId="8" fillId="0" borderId="14" xfId="0" applyNumberFormat="1" applyFont="1" applyBorder="1"/>
    <xf numFmtId="17" fontId="7" fillId="2" borderId="26" xfId="1" applyNumberFormat="1" applyFont="1" applyFill="1" applyBorder="1" applyAlignment="1">
      <alignment horizontal="center" vertical="center"/>
    </xf>
    <xf numFmtId="164" fontId="9" fillId="0" borderId="18" xfId="0" applyNumberFormat="1" applyFont="1" applyBorder="1" applyAlignment="1">
      <alignment vertical="center"/>
    </xf>
    <xf numFmtId="164" fontId="9" fillId="0" borderId="7" xfId="0" applyNumberFormat="1" applyFont="1" applyBorder="1" applyAlignment="1">
      <alignment vertical="center"/>
    </xf>
    <xf numFmtId="164" fontId="9" fillId="0" borderId="5" xfId="0" applyNumberFormat="1" applyFont="1" applyBorder="1" applyAlignment="1">
      <alignment vertical="center"/>
    </xf>
    <xf numFmtId="0" fontId="9" fillId="0" borderId="10" xfId="0" applyFont="1" applyBorder="1"/>
    <xf numFmtId="164" fontId="8" fillId="0" borderId="0" xfId="1" applyNumberFormat="1" applyFont="1" applyFill="1"/>
    <xf numFmtId="43" fontId="9" fillId="0" borderId="10" xfId="1" applyFont="1" applyFill="1" applyBorder="1"/>
    <xf numFmtId="2" fontId="9" fillId="0" borderId="10" xfId="1" applyNumberFormat="1" applyFont="1" applyFill="1" applyBorder="1"/>
    <xf numFmtId="2" fontId="9" fillId="0" borderId="12" xfId="1" applyNumberFormat="1" applyFont="1" applyFill="1" applyBorder="1"/>
    <xf numFmtId="43" fontId="9" fillId="0" borderId="10" xfId="0" applyNumberFormat="1" applyFont="1" applyBorder="1"/>
    <xf numFmtId="43" fontId="9" fillId="0" borderId="14" xfId="0" applyNumberFormat="1" applyFont="1" applyBorder="1"/>
    <xf numFmtId="43" fontId="9" fillId="0" borderId="0" xfId="0" applyNumberFormat="1" applyFont="1"/>
    <xf numFmtId="0" fontId="5" fillId="0" borderId="10" xfId="0" applyFont="1" applyBorder="1" applyAlignment="1">
      <alignment horizontal="center" vertical="center"/>
    </xf>
    <xf numFmtId="164" fontId="10" fillId="0" borderId="10" xfId="1" applyNumberFormat="1" applyFont="1" applyBorder="1"/>
    <xf numFmtId="164" fontId="10" fillId="0" borderId="10" xfId="0" applyNumberFormat="1" applyFont="1" applyBorder="1"/>
    <xf numFmtId="164" fontId="10" fillId="0" borderId="14" xfId="0" applyNumberFormat="1" applyFont="1" applyBorder="1"/>
    <xf numFmtId="0" fontId="3" fillId="0" borderId="11" xfId="0" applyFont="1" applyBorder="1" applyAlignment="1">
      <alignment horizontal="center"/>
    </xf>
    <xf numFmtId="43" fontId="3" fillId="0" borderId="10" xfId="1" applyFont="1" applyFill="1" applyBorder="1" applyAlignment="1">
      <alignment horizontal="left"/>
    </xf>
    <xf numFmtId="43" fontId="3" fillId="0" borderId="10" xfId="1" applyFont="1" applyFill="1" applyBorder="1" applyAlignment="1">
      <alignment horizontal="center"/>
    </xf>
    <xf numFmtId="43" fontId="3" fillId="0" borderId="10" xfId="1" applyFont="1" applyFill="1" applyBorder="1" applyAlignment="1"/>
    <xf numFmtId="43" fontId="3" fillId="0" borderId="10" xfId="1" applyFont="1" applyFill="1" applyBorder="1" applyAlignment="1">
      <alignment vertical="center"/>
    </xf>
    <xf numFmtId="43" fontId="3" fillId="0" borderId="10" xfId="1" applyFont="1" applyBorder="1" applyAlignment="1">
      <alignment horizontal="left" vertical="center"/>
    </xf>
    <xf numFmtId="43" fontId="3" fillId="0" borderId="10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right" vertical="center"/>
    </xf>
    <xf numFmtId="43" fontId="3" fillId="0" borderId="10" xfId="1" applyFont="1" applyBorder="1" applyAlignment="1">
      <alignment vertical="center"/>
    </xf>
    <xf numFmtId="43" fontId="3" fillId="0" borderId="10" xfId="1" applyFont="1" applyBorder="1" applyAlignment="1">
      <alignment horizontal="left"/>
    </xf>
    <xf numFmtId="43" fontId="3" fillId="0" borderId="10" xfId="1" applyFont="1" applyBorder="1" applyAlignment="1">
      <alignment horizontal="center"/>
    </xf>
    <xf numFmtId="43" fontId="3" fillId="0" borderId="10" xfId="1" applyFont="1" applyBorder="1" applyAlignment="1"/>
    <xf numFmtId="43" fontId="3" fillId="0" borderId="0" xfId="1" applyFont="1" applyBorder="1" applyAlignment="1">
      <alignment horizontal="left"/>
    </xf>
    <xf numFmtId="43" fontId="3" fillId="0" borderId="0" xfId="1" applyFont="1" applyBorder="1" applyAlignment="1">
      <alignment horizontal="center"/>
    </xf>
    <xf numFmtId="43" fontId="3" fillId="0" borderId="0" xfId="1" applyFont="1" applyBorder="1" applyAlignment="1"/>
    <xf numFmtId="0" fontId="5" fillId="0" borderId="14" xfId="0" applyFont="1" applyBorder="1"/>
    <xf numFmtId="0" fontId="5" fillId="0" borderId="11" xfId="0" applyFont="1" applyBorder="1"/>
    <xf numFmtId="0" fontId="5" fillId="0" borderId="12" xfId="0" applyFont="1" applyBorder="1"/>
    <xf numFmtId="43" fontId="3" fillId="0" borderId="14" xfId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43" fontId="3" fillId="0" borderId="0" xfId="1" applyFont="1" applyFill="1" applyBorder="1" applyAlignment="1">
      <alignment horizontal="left"/>
    </xf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 applyAlignment="1">
      <alignment vertical="center"/>
    </xf>
    <xf numFmtId="43" fontId="3" fillId="0" borderId="0" xfId="1" applyFont="1" applyFill="1" applyBorder="1" applyAlignment="1"/>
    <xf numFmtId="0" fontId="6" fillId="0" borderId="0" xfId="0" applyFont="1"/>
    <xf numFmtId="43" fontId="7" fillId="2" borderId="6" xfId="1" applyFont="1" applyFill="1" applyBorder="1" applyAlignment="1">
      <alignment horizontal="center" vertical="center"/>
    </xf>
    <xf numFmtId="43" fontId="7" fillId="2" borderId="19" xfId="1" applyFont="1" applyFill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43" fontId="7" fillId="2" borderId="18" xfId="1" applyFont="1" applyFill="1" applyBorder="1" applyAlignment="1">
      <alignment horizontal="center" vertical="center"/>
    </xf>
    <xf numFmtId="43" fontId="7" fillId="2" borderId="21" xfId="1" applyFont="1" applyFill="1" applyBorder="1" applyAlignment="1">
      <alignment horizontal="center" vertical="center"/>
    </xf>
    <xf numFmtId="43" fontId="7" fillId="2" borderId="18" xfId="1" applyFont="1" applyFill="1" applyBorder="1" applyAlignment="1">
      <alignment horizontal="center" vertical="center" wrapText="1"/>
    </xf>
    <xf numFmtId="43" fontId="7" fillId="2" borderId="21" xfId="1" applyFont="1" applyFill="1" applyBorder="1" applyAlignment="1">
      <alignment horizontal="center" vertical="center" wrapText="1"/>
    </xf>
    <xf numFmtId="43" fontId="7" fillId="2" borderId="22" xfId="1" applyFont="1" applyFill="1" applyBorder="1" applyAlignment="1">
      <alignment horizontal="center" vertical="center" wrapText="1"/>
    </xf>
    <xf numFmtId="43" fontId="7" fillId="2" borderId="23" xfId="1" applyFont="1" applyFill="1" applyBorder="1" applyAlignment="1">
      <alignment horizontal="center" vertical="center" wrapText="1"/>
    </xf>
    <xf numFmtId="164" fontId="5" fillId="0" borderId="10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5" fillId="0" borderId="12" xfId="1" applyNumberFormat="1" applyFont="1" applyBorder="1" applyAlignment="1">
      <alignment horizontal="center" wrapText="1"/>
    </xf>
    <xf numFmtId="164" fontId="5" fillId="0" borderId="13" xfId="1" applyNumberFormat="1" applyFont="1" applyBorder="1" applyAlignment="1">
      <alignment horizontal="center" wrapText="1"/>
    </xf>
    <xf numFmtId="164" fontId="5" fillId="0" borderId="15" xfId="1" applyNumberFormat="1" applyFont="1" applyBorder="1" applyAlignment="1">
      <alignment horizontal="center" wrapText="1"/>
    </xf>
    <xf numFmtId="164" fontId="5" fillId="0" borderId="16" xfId="1" applyNumberFormat="1" applyFont="1" applyBorder="1" applyAlignment="1">
      <alignment horizontal="center" wrapText="1"/>
    </xf>
    <xf numFmtId="166" fontId="5" fillId="0" borderId="15" xfId="1" applyNumberFormat="1" applyFont="1" applyBorder="1" applyAlignment="1">
      <alignment horizontal="center" wrapText="1"/>
    </xf>
    <xf numFmtId="166" fontId="5" fillId="0" borderId="16" xfId="1" applyNumberFormat="1" applyFont="1" applyBorder="1" applyAlignment="1">
      <alignment horizontal="center" wrapText="1"/>
    </xf>
    <xf numFmtId="166" fontId="5" fillId="0" borderId="43" xfId="1" applyNumberFormat="1" applyFont="1" applyBorder="1" applyAlignment="1">
      <alignment horizontal="center" wrapText="1"/>
    </xf>
    <xf numFmtId="166" fontId="5" fillId="0" borderId="44" xfId="1" applyNumberFormat="1" applyFont="1" applyBorder="1" applyAlignment="1">
      <alignment horizontal="center" wrapText="1"/>
    </xf>
    <xf numFmtId="164" fontId="5" fillId="0" borderId="14" xfId="1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5" fillId="0" borderId="0" xfId="0" applyFont="1" applyAlignment="1">
      <alignment horizontal="center"/>
    </xf>
    <xf numFmtId="43" fontId="5" fillId="0" borderId="13" xfId="1" applyFont="1" applyBorder="1" applyAlignment="1">
      <alignment horizontal="center" wrapText="1"/>
    </xf>
    <xf numFmtId="43" fontId="5" fillId="0" borderId="15" xfId="1" applyFont="1" applyBorder="1" applyAlignment="1">
      <alignment horizontal="center" wrapText="1"/>
    </xf>
    <xf numFmtId="43" fontId="5" fillId="0" borderId="16" xfId="1" applyFont="1" applyBorder="1" applyAlignment="1">
      <alignment horizontal="center" wrapText="1"/>
    </xf>
    <xf numFmtId="43" fontId="5" fillId="0" borderId="10" xfId="1" applyFont="1" applyBorder="1" applyAlignment="1">
      <alignment horizontal="center"/>
    </xf>
    <xf numFmtId="43" fontId="5" fillId="0" borderId="14" xfId="1" applyFont="1" applyBorder="1" applyAlignment="1">
      <alignment horizontal="center"/>
    </xf>
    <xf numFmtId="43" fontId="5" fillId="0" borderId="11" xfId="1" applyFont="1" applyBorder="1" applyAlignment="1">
      <alignment horizontal="center"/>
    </xf>
    <xf numFmtId="43" fontId="5" fillId="0" borderId="12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17" fontId="7" fillId="2" borderId="31" xfId="1" applyNumberFormat="1" applyFont="1" applyFill="1" applyBorder="1" applyAlignment="1">
      <alignment horizontal="center" vertical="center"/>
    </xf>
    <xf numFmtId="17" fontId="7" fillId="2" borderId="1" xfId="1" applyNumberFormat="1" applyFont="1" applyFill="1" applyBorder="1" applyAlignment="1">
      <alignment horizontal="center" vertical="center"/>
    </xf>
    <xf numFmtId="43" fontId="6" fillId="2" borderId="29" xfId="1" applyFont="1" applyFill="1" applyBorder="1" applyAlignment="1">
      <alignment horizontal="center" vertical="center"/>
    </xf>
    <xf numFmtId="43" fontId="6" fillId="2" borderId="32" xfId="1" applyFont="1" applyFill="1" applyBorder="1" applyAlignment="1">
      <alignment horizontal="center" vertical="center"/>
    </xf>
    <xf numFmtId="17" fontId="6" fillId="2" borderId="29" xfId="1" applyNumberFormat="1" applyFont="1" applyFill="1" applyBorder="1" applyAlignment="1">
      <alignment horizontal="center" vertical="center"/>
    </xf>
    <xf numFmtId="17" fontId="6" fillId="2" borderId="30" xfId="1" applyNumberFormat="1" applyFont="1" applyFill="1" applyBorder="1" applyAlignment="1">
      <alignment horizontal="center" vertical="center"/>
    </xf>
    <xf numFmtId="17" fontId="6" fillId="2" borderId="31" xfId="1" applyNumberFormat="1" applyFont="1" applyFill="1" applyBorder="1" applyAlignment="1">
      <alignment horizontal="center" vertical="center"/>
    </xf>
    <xf numFmtId="17" fontId="6" fillId="2" borderId="1" xfId="1" applyNumberFormat="1" applyFont="1" applyFill="1" applyBorder="1" applyAlignment="1">
      <alignment horizontal="center" vertical="center"/>
    </xf>
    <xf numFmtId="43" fontId="6" fillId="2" borderId="31" xfId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</cellXfs>
  <cellStyles count="7">
    <cellStyle name="20% - Accent1 2 2 2" xfId="6" xr:uid="{34E0315A-8DF2-44EB-BF0D-760BA58E0EA5}"/>
    <cellStyle name="Comma" xfId="1" builtinId="3"/>
    <cellStyle name="Comma 2" xfId="2" xr:uid="{9DAAA172-D75A-4F3E-926C-8504D0BAF043}"/>
    <cellStyle name="Comma 2 2 2" xfId="3" xr:uid="{D3135A16-3855-405F-BCDD-4C419B867421}"/>
    <cellStyle name="Normal" xfId="0" builtinId="0"/>
    <cellStyle name="Normal 2 2 2 2" xfId="4" xr:uid="{DFA5FF4F-F432-4186-9025-18C49D7CC924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5</xdr:col>
      <xdr:colOff>304801</xdr:colOff>
      <xdr:row>77</xdr:row>
      <xdr:rowOff>180108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DE6E04-660E-4998-BDD1-AA1E472DC6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703" t="11950" r="8483"/>
        <a:stretch/>
      </xdr:blipFill>
      <xdr:spPr>
        <a:xfrm>
          <a:off x="0" y="4229100"/>
          <a:ext cx="8439151" cy="45616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6.9.52\Users\8%20August%202014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4;&#304;B%20B&#304;LG&#304;%20ODASI%20TALEB&#304;\Tekel_Kod_Calisma3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oal\Accounts\2024\Monthly%20Accounts%20%20July%202024.xlsx" TargetMode="External"/><Relationship Id="rId1" Type="http://schemas.openxmlformats.org/officeDocument/2006/relationships/externalLinkPath" Target="file:///D:\Coal\Accounts\2024\Monthly%20Accounts%20%20July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6.9.52\Users\CONSOLIDATED%20MONTHLY%20ACCOUNTS\2016\09%20September%202015%20new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2.5.106\Documents%20and%20Settings\Administrator\Application%20Data\Microsoft\Excel\12%20December%202014%20-%20Version%205%20-%20AFT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039272\Downloads\Documents%20and%20Settings\Administrator\Application%20Data\Microsoft\Excel\12%20December%202014%20-%20Version%205%20-%20AFTE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ARSHANI%202014\Accounts%202014\FINAL%20ACCOUNTS%202014\DECEMBER%202014\Final\NOVEMBER%202014%20ACCOUNTS%20-%20Send%20to%20HQ%20(Final)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ariff%20Revision\2nd%20Half%20Tariff%20Revision\Answers%20for%20the%20PUCSL\Loan%20Payment%20-%20budget%20%20actuals.xlsx" TargetMode="External"/><Relationship Id="rId1" Type="http://schemas.openxmlformats.org/officeDocument/2006/relationships/externalLinkPath" Target="file:///C:\Users\User\Downloads\Loan%20Payment%20-%20budget%20%20actuals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ROJECT\LOAN%20REVALUE\30.09.2024\REPAYMENT%20AND%20INTEREST%20%20-%2030.09.2024%20-%20Copy.xlsx" TargetMode="External"/><Relationship Id="rId1" Type="http://schemas.openxmlformats.org/officeDocument/2006/relationships/externalLinkPath" Target="file:///C:\Users\USER\Desktop\PROJECT\LOAN%20REVALUE\30.09.2024\REPAYMENT%20AND%20INTEREST%20%20-%2030.09.2024%20-%20Copy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oal\Budget\Budget%202024\Third%20Tariff%20Revisions\Loan%20Payment%20-%20Aug%20update%20sachini.xlsx" TargetMode="External"/><Relationship Id="rId1" Type="http://schemas.openxmlformats.org/officeDocument/2006/relationships/externalLinkPath" Target="file:///D:\Coal\Budget\Budget%202024\Third%20Tariff%20Revisions\Loan%20Payment%20-%20Aug%20update%20sachini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oal\Budget\Budget%202024\Third%20Tariff%20Revisions\Loan%20Payment%20-%20Aug%20update%2020.09.2024.xlsx" TargetMode="External"/><Relationship Id="rId1" Type="http://schemas.openxmlformats.org/officeDocument/2006/relationships/externalLinkPath" Target="file:///D:\Coal\Budget\Budget%202024\Third%20Tariff%20Revisions\Loan%20Payment%20-%20Aug%20update%2020.09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New%20folder%20(2)\CEB%20Monthly%20account%20-%20July%20%202013%20Loan%20updated%20xls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7CB5A11\Erdemir%20Preliminary%20DCF%2017Nov04%20DRAF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039272\Downloads\2013\CONSOLIDATED%20MONTHLY%20ACCOUNTS\2013%20New%20Format\2013%20DECEMBER%20old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5.25.39\Acct%20Consol\ganga\Users\ACER\Desktop\ZILLIONe\IndexMatchSamp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kdg\AppData\Local\Temp\accounts\vidulakpaya%20-%20Accounts%202013\Downloads\HARSHANI%202014\Accounts%202014\FINAL%20ACCOUNTS%202014\DECEMBER%202014\Final\December%202014%20ACCOUNTS%20-%20Send%20to%20HQ%20(Final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kdg\AppData\Local\Temp\accounts\vidulakpaya%20-%20Accounts%202013\Downloads\HARSHANI%202014\Accounts%202014\OCTOBER%202014\OCTOBER2014%20ACCOUNTS%20-%20Send%20to%20HQ%20(Final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550.00-DGM%20ACCOUNTS\D.G.M-2015\6%20June%2015\550.00-2015-Ju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%20folder%20(2)\CEB%20Monthly%20account%20-%20July%20%202013%20Loan%20updated%20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eference"/>
      <sheetName val="P&amp;L Presentation Format"/>
      <sheetName val="P&amp;L"/>
      <sheetName val="B.S "/>
      <sheetName val="CF Print"/>
      <sheetName val="P&amp;L Notes"/>
      <sheetName val="PPEnew"/>
      <sheetName val="B.S Notes"/>
      <sheetName val="Sheet3"/>
      <sheetName val="CURRENT ACCOUNT"/>
      <sheetName val="Cu AC "/>
      <sheetName val="TB"/>
      <sheetName val=" TB  520"/>
      <sheetName val=" TB 520.11"/>
      <sheetName val=" TB 520.20"/>
      <sheetName val=" TB 520.30"/>
      <sheetName val=" TB 520.70"/>
      <sheetName val=" TB 521"/>
      <sheetName val=" TB 522"/>
      <sheetName val=" TB 523"/>
      <sheetName val=" TB 524"/>
      <sheetName val=" TB 525 "/>
      <sheetName val=" TB 526"/>
      <sheetName val=" TB 527"/>
      <sheetName val="CS"/>
      <sheetName val=" CS 520 "/>
      <sheetName val=" CS 520.11"/>
      <sheetName val=" CS 520.20"/>
      <sheetName val=" CS 520.30"/>
      <sheetName val="WIP SUM"/>
      <sheetName val=" CS 520.70"/>
      <sheetName val=" CS 521"/>
      <sheetName val=" CS 522"/>
      <sheetName val=" CS 523"/>
      <sheetName val="CS 524"/>
      <sheetName val=" CS 525"/>
      <sheetName val=" CS 526"/>
      <sheetName val=" CS 527"/>
      <sheetName val="WIP AGE"/>
      <sheetName val="AGE DR "/>
      <sheetName val="AGE CR "/>
      <sheetName val="DR CSW"/>
      <sheetName val="CR CSW"/>
      <sheetName val="STOCK REPORT"/>
      <sheetName val="STK ADJ"/>
      <sheetName val="CS (B Vs A)"/>
      <sheetName val="Aproved  2014"/>
      <sheetName val=" TB 521 (2)"/>
      <sheetName val="Cost Sheet (B Vs. A)"/>
      <sheetName val="Budget"/>
      <sheetName val="WIP"/>
      <sheetName val="WIPAGE"/>
      <sheetName val="WIP REC"/>
      <sheetName val="WIP REC(Sum)"/>
      <sheetName val="TBSP"/>
      <sheetName val="A3800"/>
      <sheetName val="L9200L5610"/>
      <sheetName val="wip addition"/>
      <sheetName val="Transfer Out"/>
      <sheetName val="Sam"/>
      <sheetName val="Char"/>
      <sheetName val="Sheet1"/>
      <sheetName val="Sheet2"/>
      <sheetName val="Compatibility Report"/>
      <sheetName val="Stock Data"/>
      <sheetName val="Energy Cost"/>
      <sheetName val="SM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637443175.08000004</v>
          </cell>
          <cell r="E11">
            <v>637443175.08000004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492781802.62</v>
          </cell>
          <cell r="E13">
            <v>492781802.62</v>
          </cell>
        </row>
        <row r="14">
          <cell r="B14">
            <v>1125</v>
          </cell>
          <cell r="C14" t="str">
            <v>Fixed charges on Electricity Bills</v>
          </cell>
          <cell r="D14">
            <v>76441575</v>
          </cell>
          <cell r="E14">
            <v>76441575</v>
          </cell>
        </row>
        <row r="15">
          <cell r="B15">
            <v>1200</v>
          </cell>
          <cell r="C15" t="str">
            <v>Fuel Surcharge Account</v>
          </cell>
          <cell r="D15">
            <v>206997542.47</v>
          </cell>
          <cell r="E15">
            <v>206997542.47</v>
          </cell>
        </row>
        <row r="16">
          <cell r="C16" t="str">
            <v>SUB TOTAL OF TURNOVER</v>
          </cell>
          <cell r="D16">
            <v>1413664095.1700001</v>
          </cell>
          <cell r="E16">
            <v>1413664095.1700001</v>
          </cell>
        </row>
        <row r="17">
          <cell r="C17" t="str">
            <v xml:space="preserve"> INTEREST INCOME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938440.4</v>
          </cell>
          <cell r="E19">
            <v>938440.4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C21" t="str">
            <v>SUB TOTAL OF INTEREST INCOME</v>
          </cell>
          <cell r="D21">
            <v>938440.4</v>
          </cell>
          <cell r="E21">
            <v>938440.4</v>
          </cell>
        </row>
        <row r="22">
          <cell r="C22" t="str">
            <v>DIVIDEND INCOME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</row>
        <row r="24">
          <cell r="C24" t="str">
            <v>SUB TOTAL OF DIVIDEND INCOME</v>
          </cell>
          <cell r="D24">
            <v>0</v>
          </cell>
          <cell r="E24">
            <v>0</v>
          </cell>
        </row>
        <row r="25">
          <cell r="C25" t="str">
            <v xml:space="preserve"> OVERHEAD RECOVERIES</v>
          </cell>
        </row>
        <row r="26">
          <cell r="B26">
            <v>1330</v>
          </cell>
          <cell r="C26" t="str">
            <v>Overhead Recoveries Account</v>
          </cell>
          <cell r="D26">
            <v>10258743.52</v>
          </cell>
          <cell r="E26">
            <v>10258743.52</v>
          </cell>
        </row>
        <row r="27">
          <cell r="B27">
            <v>1510</v>
          </cell>
          <cell r="C27" t="str">
            <v>Recoveries on House Rent Account</v>
          </cell>
          <cell r="D27">
            <v>63541.65</v>
          </cell>
          <cell r="E27">
            <v>63541.65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</row>
        <row r="32">
          <cell r="C32" t="str">
            <v>SUB TOTAL OF OVERHEAD RECOVERIES</v>
          </cell>
          <cell r="D32">
            <v>10322285.17</v>
          </cell>
          <cell r="E32">
            <v>10322285.17</v>
          </cell>
        </row>
        <row r="33">
          <cell r="C33" t="str">
            <v xml:space="preserve"> PROFIT / LOSS ON DISPOSAl OF PPE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24347.5</v>
          </cell>
          <cell r="E35">
            <v>24347.5</v>
          </cell>
        </row>
        <row r="36">
          <cell r="C36" t="str">
            <v>SUB TOTAL OF PROFIT / LOSS ON DISPOSAl OF PPE</v>
          </cell>
          <cell r="D36">
            <v>24347.5</v>
          </cell>
          <cell r="E36">
            <v>24347.5</v>
          </cell>
        </row>
        <row r="37">
          <cell r="C37" t="str">
            <v xml:space="preserve"> MISSELANIOUS INCOME</v>
          </cell>
        </row>
        <row r="38">
          <cell r="B38">
            <v>1130</v>
          </cell>
          <cell r="C38" t="str">
            <v>Surcharge on Electricity Bills Account</v>
          </cell>
          <cell r="D38">
            <v>4041088.31</v>
          </cell>
          <cell r="E38">
            <v>4041088.31</v>
          </cell>
        </row>
        <row r="39">
          <cell r="B39">
            <v>1300</v>
          </cell>
          <cell r="C39" t="str">
            <v>Miscellaneous Income Account</v>
          </cell>
          <cell r="D39">
            <v>5510972.9800000004</v>
          </cell>
          <cell r="E39">
            <v>5510972.9800000004</v>
          </cell>
        </row>
        <row r="40">
          <cell r="B40">
            <v>1305</v>
          </cell>
          <cell r="C40" t="str">
            <v>Samurdhi Loan Interest  Account</v>
          </cell>
          <cell r="D40">
            <v>711796.65</v>
          </cell>
          <cell r="E40">
            <v>711796.65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727912.84</v>
          </cell>
          <cell r="E42">
            <v>727912.84</v>
          </cell>
        </row>
        <row r="43">
          <cell r="B43">
            <v>1320</v>
          </cell>
          <cell r="C43" t="str">
            <v>Re-usable Material Account</v>
          </cell>
          <cell r="D43">
            <v>0</v>
          </cell>
          <cell r="E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3153541.05</v>
          </cell>
          <cell r="E45">
            <v>3153541.05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3500</v>
          </cell>
          <cell r="E46">
            <v>3500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</row>
        <row r="48">
          <cell r="B48">
            <v>1370</v>
          </cell>
          <cell r="C48" t="str">
            <v>Income on Cost Recovery Jobs Account</v>
          </cell>
          <cell r="D48">
            <v>32546.77</v>
          </cell>
          <cell r="E48">
            <v>32546.77</v>
          </cell>
        </row>
        <row r="49">
          <cell r="B49">
            <v>1380</v>
          </cell>
          <cell r="C49" t="str">
            <v>Service Main Application Fee Account</v>
          </cell>
          <cell r="D49">
            <v>643000</v>
          </cell>
          <cell r="E49">
            <v>643000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C52" t="str">
            <v>SUB TOTAL OF MISSELANIOUS INCOME</v>
          </cell>
          <cell r="D52">
            <v>14824358.600000001</v>
          </cell>
          <cell r="E52">
            <v>14824358.600000001</v>
          </cell>
        </row>
        <row r="53">
          <cell r="C53" t="str">
            <v>TOTAL INCOME</v>
          </cell>
          <cell r="D53">
            <v>1439773526.8400002</v>
          </cell>
          <cell r="E53">
            <v>1439773526.8400002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D55">
            <v>1191830</v>
          </cell>
          <cell r="E55">
            <v>1191830</v>
          </cell>
        </row>
        <row r="56">
          <cell r="B56">
            <v>2110</v>
          </cell>
          <cell r="C56" t="str">
            <v>Management Staff Allowances Account</v>
          </cell>
          <cell r="D56">
            <v>256941.42</v>
          </cell>
          <cell r="E56">
            <v>256941.42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16306644.710000001</v>
          </cell>
          <cell r="E58">
            <v>16306644.710000001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5243853.1500000004</v>
          </cell>
          <cell r="E60">
            <v>5243853.1500000004</v>
          </cell>
        </row>
        <row r="61">
          <cell r="B61">
            <v>2310</v>
          </cell>
          <cell r="C61" t="str">
            <v>Other Staff Allowances Account</v>
          </cell>
          <cell r="D61">
            <v>1106764.33</v>
          </cell>
          <cell r="E61">
            <v>1106764.33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22748505.199999999</v>
          </cell>
          <cell r="E64">
            <v>22748505.199999999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7163724</v>
          </cell>
          <cell r="E67">
            <v>7163724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</row>
        <row r="69">
          <cell r="B69">
            <v>2340</v>
          </cell>
          <cell r="C69" t="str">
            <v>Labor Rate Variance Account</v>
          </cell>
          <cell r="D69">
            <v>-5144086.13</v>
          </cell>
          <cell r="E69">
            <v>-5144086.13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180351.25</v>
          </cell>
          <cell r="E70">
            <v>180351.25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1710688.9</v>
          </cell>
          <cell r="E71">
            <v>1710688.9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0</v>
          </cell>
          <cell r="E73">
            <v>0</v>
          </cell>
        </row>
        <row r="74">
          <cell r="B74">
            <v>2510</v>
          </cell>
          <cell r="C74" t="str">
            <v>Incentive for Meter Readers Account</v>
          </cell>
          <cell r="D74">
            <v>128900</v>
          </cell>
          <cell r="E74">
            <v>128900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0</v>
          </cell>
          <cell r="E76">
            <v>0</v>
          </cell>
        </row>
        <row r="77">
          <cell r="B77">
            <v>2540</v>
          </cell>
          <cell r="C77" t="str">
            <v>Allowances to Trainees Account</v>
          </cell>
          <cell r="D77">
            <v>426125</v>
          </cell>
          <cell r="E77">
            <v>426125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0</v>
          </cell>
          <cell r="E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4240</v>
          </cell>
          <cell r="E82">
            <v>4240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0</v>
          </cell>
          <cell r="E84">
            <v>0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0</v>
          </cell>
          <cell r="E87">
            <v>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232052.58</v>
          </cell>
          <cell r="E89">
            <v>232052.58</v>
          </cell>
        </row>
        <row r="90">
          <cell r="B90">
            <v>2641</v>
          </cell>
          <cell r="C90" t="str">
            <v>Medical Expenses  - Out door Account</v>
          </cell>
          <cell r="D90">
            <v>963977.7</v>
          </cell>
          <cell r="E90">
            <v>963977.7</v>
          </cell>
        </row>
        <row r="91">
          <cell r="B91">
            <v>2650</v>
          </cell>
          <cell r="C91" t="str">
            <v>Uniforms &amp; Protective Clothing Account</v>
          </cell>
          <cell r="D91">
            <v>441801.75</v>
          </cell>
          <cell r="E91">
            <v>441801.75</v>
          </cell>
        </row>
        <row r="92">
          <cell r="B92">
            <v>2660</v>
          </cell>
          <cell r="C92" t="str">
            <v>Reimbursement of loan Interest Account</v>
          </cell>
          <cell r="D92">
            <v>5318170.78</v>
          </cell>
          <cell r="E92">
            <v>5318170.78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0</v>
          </cell>
        </row>
        <row r="94">
          <cell r="B94">
            <v>2680</v>
          </cell>
          <cell r="C94" t="str">
            <v>CEB Pension Fund Account</v>
          </cell>
          <cell r="D94">
            <v>3033292.27</v>
          </cell>
          <cell r="E94">
            <v>3033292.27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1135928.5900000001</v>
          </cell>
          <cell r="E96">
            <v>1135928.5900000001</v>
          </cell>
        </row>
        <row r="97">
          <cell r="B97">
            <v>2710</v>
          </cell>
          <cell r="C97" t="str">
            <v>CEB Provident Fund Account</v>
          </cell>
          <cell r="D97">
            <v>5676785.5</v>
          </cell>
          <cell r="E97">
            <v>5676785.5</v>
          </cell>
        </row>
        <row r="98">
          <cell r="C98" t="str">
            <v>personel cost on pension fund</v>
          </cell>
          <cell r="D98">
            <v>0</v>
          </cell>
          <cell r="E98">
            <v>0</v>
          </cell>
        </row>
        <row r="99">
          <cell r="C99" t="str">
            <v>PERSONNEL EXPENSES - SUB TOTAL</v>
          </cell>
          <cell r="D99">
            <v>68126491</v>
          </cell>
          <cell r="E99">
            <v>68126491</v>
          </cell>
        </row>
        <row r="100">
          <cell r="C100" t="str">
            <v xml:space="preserve"> MATERIAL COST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1372185234.4000001</v>
          </cell>
          <cell r="E104">
            <v>1372185234.4000001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29639731.75</v>
          </cell>
          <cell r="E110">
            <v>29639731.75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</row>
        <row r="115">
          <cell r="B115">
            <v>3212</v>
          </cell>
          <cell r="C115" t="str">
            <v>Expenses on Tug Boats and Barges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0</v>
          </cell>
        </row>
        <row r="119">
          <cell r="B119">
            <v>3300</v>
          </cell>
          <cell r="C119" t="str">
            <v>Loose Tools Account</v>
          </cell>
          <cell r="D119">
            <v>0</v>
          </cell>
          <cell r="E119">
            <v>0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4817</v>
          </cell>
          <cell r="E122">
            <v>4817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C125" t="str">
            <v>MATERIAL COST - SUB TOTAL</v>
          </cell>
          <cell r="D125">
            <v>1401829783.1500001</v>
          </cell>
          <cell r="E125">
            <v>1401829783.1500001</v>
          </cell>
        </row>
        <row r="126">
          <cell r="C126" t="str">
            <v>ACCOMMODATION EXPENSES</v>
          </cell>
        </row>
        <row r="127">
          <cell r="B127">
            <v>4100</v>
          </cell>
          <cell r="C127" t="str">
            <v>Housing Rent and Rates Account</v>
          </cell>
          <cell r="D127">
            <v>776458.76</v>
          </cell>
          <cell r="E127">
            <v>776458.76</v>
          </cell>
        </row>
        <row r="128">
          <cell r="B128">
            <v>4110</v>
          </cell>
          <cell r="C128" t="str">
            <v>Building Maintenance Account</v>
          </cell>
          <cell r="D128">
            <v>367028.39</v>
          </cell>
          <cell r="E128">
            <v>367028.39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216827.5</v>
          </cell>
          <cell r="E130">
            <v>216827.5</v>
          </cell>
        </row>
        <row r="131">
          <cell r="B131">
            <v>4300</v>
          </cell>
          <cell r="C131" t="str">
            <v>Electricity  Consumption Account</v>
          </cell>
          <cell r="D131">
            <v>350022.02</v>
          </cell>
          <cell r="E131">
            <v>350022.02</v>
          </cell>
        </row>
        <row r="132">
          <cell r="B132">
            <v>4400</v>
          </cell>
          <cell r="C132" t="str">
            <v>Water Supply Charges Account</v>
          </cell>
          <cell r="D132">
            <v>71195.070000000007</v>
          </cell>
          <cell r="E132">
            <v>71195.070000000007</v>
          </cell>
        </row>
        <row r="133">
          <cell r="C133" t="str">
            <v>ACCOMMODATION EXPENSES - SUB TOTAL</v>
          </cell>
          <cell r="D133">
            <v>1781531.74</v>
          </cell>
          <cell r="E133">
            <v>1781531.74</v>
          </cell>
        </row>
        <row r="134">
          <cell r="C134" t="str">
            <v>TRANSPORT &amp; COMMUNICATION EXPENSES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2001928.78</v>
          </cell>
          <cell r="E135">
            <v>2001928.78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4356003.1500000004</v>
          </cell>
          <cell r="E137">
            <v>4356003.1500000004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5172468.7300000004</v>
          </cell>
          <cell r="E138">
            <v>5172468.7300000004</v>
          </cell>
        </row>
        <row r="139">
          <cell r="B139">
            <v>5220</v>
          </cell>
          <cell r="C139" t="str">
            <v>Vehicle Hire Charges Account</v>
          </cell>
          <cell r="D139">
            <v>4487917.55</v>
          </cell>
          <cell r="E139">
            <v>4487917.55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923449.33</v>
          </cell>
          <cell r="E141">
            <v>923449.33</v>
          </cell>
        </row>
        <row r="142">
          <cell r="B142">
            <v>5310</v>
          </cell>
          <cell r="C142" t="str">
            <v>Postage Account</v>
          </cell>
          <cell r="D142">
            <v>94017</v>
          </cell>
          <cell r="E142">
            <v>94017</v>
          </cell>
        </row>
        <row r="143">
          <cell r="B143">
            <v>5320</v>
          </cell>
          <cell r="C143" t="str">
            <v>Telecommunications Account</v>
          </cell>
          <cell r="D143">
            <v>293294.90000000002</v>
          </cell>
          <cell r="E143">
            <v>293294.90000000002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</v>
          </cell>
          <cell r="D145">
            <v>0</v>
          </cell>
          <cell r="E145">
            <v>0</v>
          </cell>
        </row>
        <row r="146">
          <cell r="B146">
            <v>5323</v>
          </cell>
          <cell r="C146" t="str">
            <v>Expenses on Software licenses and  maintenance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D147">
            <v>0</v>
          </cell>
          <cell r="E147">
            <v>0</v>
          </cell>
        </row>
        <row r="148">
          <cell r="C148" t="str">
            <v>TRANSPORT &amp; COMMUNICATION EXP. - SUB TOTAL</v>
          </cell>
          <cell r="D148">
            <v>17329079.439999998</v>
          </cell>
          <cell r="E148">
            <v>17329079.439999998</v>
          </cell>
        </row>
        <row r="149">
          <cell r="C149" t="str">
            <v xml:space="preserve"> DEPRECIATION</v>
          </cell>
        </row>
        <row r="150">
          <cell r="B150">
            <v>6000</v>
          </cell>
          <cell r="C150" t="str">
            <v>Depreciation Account</v>
          </cell>
          <cell r="D150">
            <v>0</v>
          </cell>
          <cell r="E150">
            <v>0</v>
          </cell>
        </row>
        <row r="151">
          <cell r="C151" t="str">
            <v>DEPRECIATION - SUB TOTAL</v>
          </cell>
          <cell r="D151">
            <v>0</v>
          </cell>
          <cell r="E151">
            <v>0</v>
          </cell>
        </row>
        <row r="152">
          <cell r="C152" t="str">
            <v xml:space="preserve"> OTHER EXPENSES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2447550</v>
          </cell>
          <cell r="E154">
            <v>2447550</v>
          </cell>
        </row>
        <row r="155">
          <cell r="B155">
            <v>7211</v>
          </cell>
          <cell r="C155" t="str">
            <v>Payment to Manpower Agencies Account</v>
          </cell>
          <cell r="D155">
            <v>19541716.27</v>
          </cell>
          <cell r="E155">
            <v>19541716.27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1800</v>
          </cell>
          <cell r="E164">
            <v>1800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13000</v>
          </cell>
          <cell r="E168">
            <v>13000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</row>
        <row r="170">
          <cell r="B170">
            <v>7510</v>
          </cell>
          <cell r="C170" t="str">
            <v>Entertainment Account</v>
          </cell>
          <cell r="D170">
            <v>54879</v>
          </cell>
          <cell r="E170">
            <v>54879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0</v>
          </cell>
          <cell r="E172">
            <v>0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275000</v>
          </cell>
          <cell r="E176">
            <v>275000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125238.39999999999</v>
          </cell>
          <cell r="E182">
            <v>125238.39999999999</v>
          </cell>
        </row>
        <row r="183">
          <cell r="B183">
            <v>7810</v>
          </cell>
          <cell r="C183" t="str">
            <v>Compensation to Third Parties Account</v>
          </cell>
          <cell r="D183">
            <v>1959000</v>
          </cell>
          <cell r="E183">
            <v>1959000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65382.48</v>
          </cell>
          <cell r="E184">
            <v>65382.48</v>
          </cell>
        </row>
        <row r="185">
          <cell r="B185">
            <v>7830</v>
          </cell>
          <cell r="C185" t="str">
            <v>Way Leaves Account</v>
          </cell>
          <cell r="D185">
            <v>5245600.5</v>
          </cell>
          <cell r="E185">
            <v>5245600.5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1526945.63</v>
          </cell>
          <cell r="E188">
            <v>1526945.63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>Expenses on Cost Recovery Traning</v>
          </cell>
          <cell r="D191">
            <v>0</v>
          </cell>
          <cell r="E191">
            <v>0</v>
          </cell>
        </row>
        <row r="192">
          <cell r="C192" t="str">
            <v>OTHER EXPENSES - SUB TOTAL</v>
          </cell>
          <cell r="D192">
            <v>31256112.279999997</v>
          </cell>
          <cell r="E192">
            <v>31256112.279999997</v>
          </cell>
        </row>
        <row r="193">
          <cell r="C193" t="str">
            <v>FINANCE COST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16836</v>
          </cell>
          <cell r="E196">
            <v>16836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</row>
        <row r="208">
          <cell r="B208">
            <v>9300</v>
          </cell>
          <cell r="C208" t="str">
            <v>Deferred Tax Expense / (Income) - Net</v>
          </cell>
          <cell r="D208">
            <v>0</v>
          </cell>
          <cell r="E208">
            <v>0</v>
          </cell>
        </row>
        <row r="209">
          <cell r="C209" t="str">
            <v>FINANCE COST - SUB TOTAL</v>
          </cell>
          <cell r="D209">
            <v>16836</v>
          </cell>
          <cell r="E209">
            <v>16836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isanSayi"/>
      <sheetName val="Ucret"/>
      <sheetName val="3MaliYukum"/>
      <sheetName val="SirketKod"/>
      <sheetName val="UcretRapor"/>
      <sheetName val="Sayfa1"/>
      <sheetName val="DATA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ŞİRKET KOD</v>
          </cell>
          <cell r="B1" t="str">
            <v>KURULUŞ</v>
          </cell>
          <cell r="C1" t="str">
            <v>ŞİRKET 01</v>
          </cell>
          <cell r="D1" t="str">
            <v>ŞİRKET 02</v>
          </cell>
          <cell r="E1" t="str">
            <v>ŞİRKET 03</v>
          </cell>
          <cell r="F1" t="str">
            <v>ŞİRKET 04</v>
          </cell>
        </row>
        <row r="2">
          <cell r="A2" t="str">
            <v>1.01.00.00.00.00</v>
          </cell>
          <cell r="B2" t="str">
            <v>TEKEL</v>
          </cell>
          <cell r="C2" t="str">
            <v>TEKEL TÜT.MAM.TUZ ALKOL İŞL. A.Ş.</v>
          </cell>
          <cell r="D2" t="str">
            <v xml:space="preserve">       -Genel Müdürlük</v>
          </cell>
          <cell r="E2" t="str">
            <v xml:space="preserve">       -Genel Müdürlük</v>
          </cell>
          <cell r="F2" t="str">
            <v xml:space="preserve">       -Genel Müdürlük</v>
          </cell>
        </row>
        <row r="3">
          <cell r="A3" t="str">
            <v>1.01.00.01.00.00</v>
          </cell>
          <cell r="B3" t="str">
            <v>TEKEL</v>
          </cell>
          <cell r="C3" t="str">
            <v>TEKEL TÜT.MAM.TUZ ALKOL İŞL. A.Ş.</v>
          </cell>
          <cell r="D3" t="str">
            <v xml:space="preserve">       -Ambalaj Fabrikası Müdürlüğü</v>
          </cell>
          <cell r="E3" t="str">
            <v xml:space="preserve">       -Ambalaj Fabrikası Müdürlüğü</v>
          </cell>
          <cell r="F3" t="str">
            <v xml:space="preserve">       -Ambalaj Fabrikası Müdürlüğü</v>
          </cell>
        </row>
        <row r="4">
          <cell r="A4" t="str">
            <v>1.01.00.02.00.00</v>
          </cell>
          <cell r="B4" t="str">
            <v>TEKEL</v>
          </cell>
          <cell r="C4" t="str">
            <v>TEKEL TÜT.MAM.TUZ ALKOL İŞL. A.Ş.</v>
          </cell>
          <cell r="D4" t="str">
            <v xml:space="preserve">       -Kelkit Kibrit Fabrikası Müdürlüğü</v>
          </cell>
          <cell r="E4" t="str">
            <v xml:space="preserve">       -Kelkit Kibrit Fabrikası Müdürlüğü</v>
          </cell>
          <cell r="F4" t="str">
            <v xml:space="preserve">       -Kelkit Kibrit Fabrikası Müdürlüğü</v>
          </cell>
        </row>
        <row r="5">
          <cell r="A5" t="str">
            <v>1.01.00.03.00.00</v>
          </cell>
          <cell r="B5" t="str">
            <v>TEKEL</v>
          </cell>
          <cell r="C5" t="str">
            <v>TEKEL TÜT.MAM.TUZ ALKOL İŞL. A.Ş.</v>
          </cell>
          <cell r="D5" t="str">
            <v xml:space="preserve">       -Levazım Şube Müdürlüğü</v>
          </cell>
          <cell r="E5" t="str">
            <v xml:space="preserve">       -Levazım Şube Müdürlüğü</v>
          </cell>
          <cell r="F5" t="str">
            <v xml:space="preserve">       -Levazım Şube Müdürlüğü</v>
          </cell>
        </row>
        <row r="6">
          <cell r="A6" t="str">
            <v>1.01.00.04.00.00</v>
          </cell>
          <cell r="B6" t="str">
            <v>TEKEL</v>
          </cell>
          <cell r="C6" t="str">
            <v>TEKEL TÜT.MAM.TUZ ALKOL İŞL. A.Ş.</v>
          </cell>
          <cell r="D6" t="str">
            <v xml:space="preserve">       -Yaprak Tütün İşl. ve Ticareti Müessesesi </v>
          </cell>
          <cell r="E6" t="str">
            <v xml:space="preserve">       -Yaprak Tütün İşl. ve Ticareti Müessesesi </v>
          </cell>
          <cell r="F6" t="str">
            <v xml:space="preserve">       -Yaprak Tütün İşl. ve Ticareti Müessesesi </v>
          </cell>
        </row>
        <row r="7">
          <cell r="A7" t="str">
            <v>1.01.00.04.01.00</v>
          </cell>
          <cell r="B7" t="str">
            <v>TEKEL</v>
          </cell>
          <cell r="C7" t="str">
            <v>TEKEL TÜT.MAM.TUZ ALKOL İŞL. A.Ş.</v>
          </cell>
          <cell r="D7" t="str">
            <v xml:space="preserve">       -Yaprak Tütün İşl. ve Ticareti Müessesesi </v>
          </cell>
          <cell r="E7" t="str">
            <v xml:space="preserve">            -Adana Yaprak Tütün İşletme Müdürlüğü</v>
          </cell>
          <cell r="F7" t="str">
            <v xml:space="preserve">            -Adana Yaprak Tütün İşletme Müdürlüğü</v>
          </cell>
        </row>
        <row r="8">
          <cell r="A8" t="str">
            <v>1.01.00.04.01.01</v>
          </cell>
          <cell r="B8" t="str">
            <v>TEKEL</v>
          </cell>
          <cell r="C8" t="str">
            <v>TEKEL TÜT.MAM.TUZ ALKOL İŞL. A.Ş.</v>
          </cell>
          <cell r="D8" t="str">
            <v xml:space="preserve">       -Yaprak Tütün İşl. ve Ticareti Müessesesi </v>
          </cell>
          <cell r="E8" t="str">
            <v xml:space="preserve">            -Adana Yaprak Tütün İşletme Müdürlüğü</v>
          </cell>
          <cell r="F8" t="str">
            <v xml:space="preserve">               -İslahiye Y. T. İşletme Müdürlüğü</v>
          </cell>
        </row>
        <row r="9">
          <cell r="A9" t="str">
            <v>1.01.00.04.02.00</v>
          </cell>
          <cell r="B9" t="str">
            <v>TEKEL</v>
          </cell>
          <cell r="C9" t="str">
            <v>TEKEL TÜT.MAM.TUZ ALKOL İŞL. A.Ş.</v>
          </cell>
          <cell r="D9" t="str">
            <v xml:space="preserve">       -Yaprak Tütün İşl. ve Ticareti Müessesesi </v>
          </cell>
          <cell r="E9" t="str">
            <v xml:space="preserve">            -Mersin Yaprak Tütün İşletme Müdürlüğü</v>
          </cell>
          <cell r="F9" t="str">
            <v xml:space="preserve">            -Mersin Yaprak Tütün İşletme Müdürlüğü</v>
          </cell>
        </row>
        <row r="10">
          <cell r="A10" t="str">
            <v>1.01.00.04.03.00</v>
          </cell>
          <cell r="B10" t="str">
            <v>TEKEL</v>
          </cell>
          <cell r="C10" t="str">
            <v>TEKEL TÜT.MAM.TUZ ALKOL İŞL. A.Ş.</v>
          </cell>
          <cell r="D10" t="str">
            <v xml:space="preserve">       -Yaprak Tütün İşl. ve Ticareti Müessesesi </v>
          </cell>
          <cell r="E10" t="str">
            <v xml:space="preserve">            -Gaziantep Yaprak Tütün İşletme Müdürlüğü</v>
          </cell>
          <cell r="F10" t="str">
            <v xml:space="preserve">            -Gaziantep Yaprak Tütün İşletme Müdürlüğü</v>
          </cell>
        </row>
        <row r="11">
          <cell r="A11" t="str">
            <v>1.01.00.04.04.00</v>
          </cell>
          <cell r="B11" t="str">
            <v>TEKEL</v>
          </cell>
          <cell r="C11" t="str">
            <v>TEKEL TÜT.MAM.TUZ ALKOL İŞL. A.Ş.</v>
          </cell>
          <cell r="D11" t="str">
            <v xml:space="preserve">       -Yaprak Tütün İşl. ve Ticareti Müessesesi </v>
          </cell>
          <cell r="E11" t="str">
            <v xml:space="preserve">            -Adıyaman Yaprak Tütün İşletme Müdürlüğü</v>
          </cell>
          <cell r="F11" t="str">
            <v xml:space="preserve">            -Adıyaman Yaprak Tütün İşletme Müdürlüğü</v>
          </cell>
        </row>
        <row r="12">
          <cell r="A12" t="str">
            <v>1.01.00.04.04.01</v>
          </cell>
          <cell r="B12" t="str">
            <v>TEKEL</v>
          </cell>
          <cell r="C12" t="str">
            <v>TEKEL TÜT.MAM.TUZ ALKOL İŞL. A.Ş.</v>
          </cell>
          <cell r="D12" t="str">
            <v xml:space="preserve">       -Yaprak Tütün İşl. ve Ticareti Müessesesi </v>
          </cell>
          <cell r="E12" t="str">
            <v xml:space="preserve">            -Adıyaman Yaprak Tütün İşletme Müdürlüğü</v>
          </cell>
          <cell r="F12" t="str">
            <v xml:space="preserve">               -Besni Y.T İşletme Müdürlüğü</v>
          </cell>
        </row>
        <row r="13">
          <cell r="A13" t="str">
            <v>1.01.00.04.04.02</v>
          </cell>
          <cell r="B13" t="str">
            <v>TEKEL</v>
          </cell>
          <cell r="C13" t="str">
            <v>TEKEL TÜT.MAM.TUZ ALKOL İŞL. A.Ş.</v>
          </cell>
          <cell r="D13" t="str">
            <v xml:space="preserve">       -Yaprak Tütün İşl. ve Ticareti Müessesesi </v>
          </cell>
          <cell r="E13" t="str">
            <v xml:space="preserve">            -Adıyaman Yaprak Tütün İşletme Müdürlüğü</v>
          </cell>
          <cell r="F13" t="str">
            <v xml:space="preserve">               -Kahta Y.T. İşletme Müdürlüğü</v>
          </cell>
        </row>
        <row r="14">
          <cell r="A14" t="str">
            <v>1.01.00.04.05.00</v>
          </cell>
          <cell r="B14" t="str">
            <v>TEKEL</v>
          </cell>
          <cell r="C14" t="str">
            <v>TEKEL TÜT.MAM.TUZ ALKOL İŞL. A.Ş.</v>
          </cell>
          <cell r="D14" t="str">
            <v xml:space="preserve">       -Yaprak Tütün İşl. ve Ticareti Müessesesi </v>
          </cell>
          <cell r="E14" t="str">
            <v xml:space="preserve">           -Akhisar Yaprak Tütün İşletme Müdürlüğü</v>
          </cell>
          <cell r="F14" t="str">
            <v xml:space="preserve">           -Akhisar Yaprak Tütün İşletme Müdürlüğü</v>
          </cell>
        </row>
        <row r="15">
          <cell r="A15" t="str">
            <v>1.01.00.04.05.01</v>
          </cell>
          <cell r="B15" t="str">
            <v>TEKEL</v>
          </cell>
          <cell r="C15" t="str">
            <v>TEKEL TÜT.MAM.TUZ ALKOL İŞL. A.Ş.</v>
          </cell>
          <cell r="D15" t="str">
            <v xml:space="preserve">       -Yaprak Tütün İşl. ve Ticareti Müessesesi </v>
          </cell>
          <cell r="E15" t="str">
            <v xml:space="preserve">           -Akhisar Yaprak Tütün İşletme Müdürlüğü</v>
          </cell>
          <cell r="F15" t="str">
            <v xml:space="preserve">             - Borlu Alım Noktası</v>
          </cell>
        </row>
        <row r="16">
          <cell r="A16" t="str">
            <v>1.01.00.04.05.02</v>
          </cell>
          <cell r="B16" t="str">
            <v>TEKEL</v>
          </cell>
          <cell r="C16" t="str">
            <v>TEKEL TÜT.MAM.TUZ ALKOL İŞL. A.Ş.</v>
          </cell>
          <cell r="D16" t="str">
            <v xml:space="preserve">       -Yaprak Tütün İşl. ve Ticareti Müessesesi </v>
          </cell>
          <cell r="E16" t="str">
            <v xml:space="preserve">           -Akhisar Yaprak Tütün İşletme Müdürlüğü</v>
          </cell>
          <cell r="F16" t="str">
            <v xml:space="preserve">              -Demirci Y.T. İşletme Müdürlüğü</v>
          </cell>
        </row>
        <row r="17">
          <cell r="A17" t="str">
            <v>1.01.00.04.05.03</v>
          </cell>
          <cell r="B17" t="str">
            <v>TEKEL</v>
          </cell>
          <cell r="C17" t="str">
            <v>TEKEL TÜT.MAM.TUZ ALKOL İŞL. A.Ş.</v>
          </cell>
          <cell r="D17" t="str">
            <v xml:space="preserve">       -Yaprak Tütün İşl. ve Ticareti Müessesesi </v>
          </cell>
          <cell r="E17" t="str">
            <v xml:space="preserve">           -Akhisar Yaprak Tütün İşletme Müdürlüğü</v>
          </cell>
          <cell r="F17" t="str">
            <v xml:space="preserve">              -Gölmarmara Y.T.İşletme Müdürlüğü</v>
          </cell>
        </row>
        <row r="18">
          <cell r="A18" t="str">
            <v>1.01.00.04.05.04</v>
          </cell>
          <cell r="B18" t="str">
            <v>TEKEL</v>
          </cell>
          <cell r="C18" t="str">
            <v>TEKEL TÜT.MAM.TUZ ALKOL İŞL. A.Ş.</v>
          </cell>
          <cell r="D18" t="str">
            <v xml:space="preserve">       -Yaprak Tütün İşl. ve Ticareti Müessesesi </v>
          </cell>
          <cell r="E18" t="str">
            <v xml:space="preserve">           -Akhisar Yaprak Tütün İşletme Müdürlüğü</v>
          </cell>
          <cell r="F18" t="str">
            <v xml:space="preserve">              -Gördes Y.T.İşletme Müdürlüğü</v>
          </cell>
        </row>
        <row r="19">
          <cell r="A19" t="str">
            <v>1.01.00.04.05.05</v>
          </cell>
          <cell r="B19" t="str">
            <v>TEKEL</v>
          </cell>
          <cell r="C19" t="str">
            <v>TEKEL TÜT.MAM.TUZ ALKOL İŞL. A.Ş.</v>
          </cell>
          <cell r="D19" t="str">
            <v xml:space="preserve">       -Yaprak Tütün İşl. ve Ticareti Müessesesi </v>
          </cell>
          <cell r="E19" t="str">
            <v xml:space="preserve">           -Akhisar Yaprak Tütün İşletme Müdürlüğü</v>
          </cell>
          <cell r="F19" t="str">
            <v xml:space="preserve">              -Kırkağaç Y.T İşletme Müdürlüğü</v>
          </cell>
        </row>
        <row r="20">
          <cell r="A20" t="str">
            <v>1.01.00.04.05.06</v>
          </cell>
          <cell r="B20" t="str">
            <v>TEKEL</v>
          </cell>
          <cell r="C20" t="str">
            <v>TEKEL TÜT.MAM.TUZ ALKOL İŞL. A.Ş.</v>
          </cell>
          <cell r="D20" t="str">
            <v xml:space="preserve">       -Yaprak Tütün İşl. ve Ticareti Müessesesi </v>
          </cell>
          <cell r="E20" t="str">
            <v xml:space="preserve">           -Akhisar Yaprak Tütün İşletme Müdürlüğü</v>
          </cell>
          <cell r="F20" t="str">
            <v xml:space="preserve">              -Köprübaşı Y.T.İşletme Müdürlüğü</v>
          </cell>
        </row>
        <row r="21">
          <cell r="A21" t="str">
            <v>1.01.00.04.05.07</v>
          </cell>
          <cell r="B21" t="str">
            <v>TEKEL</v>
          </cell>
          <cell r="C21" t="str">
            <v>TEKEL TÜT.MAM.TUZ ALKOL İŞL. A.Ş.</v>
          </cell>
          <cell r="D21" t="str">
            <v xml:space="preserve">       -Yaprak Tütün İşl. ve Ticareti Müessesesi </v>
          </cell>
          <cell r="E21" t="str">
            <v xml:space="preserve">           -Akhisar Yaprak Tütün İşletme Müdürlüğü</v>
          </cell>
          <cell r="F21" t="str">
            <v xml:space="preserve">              -Soma  Y.T.İşletme Müdürlüğü</v>
          </cell>
        </row>
        <row r="22">
          <cell r="A22" t="str">
            <v>1.01.00.04.06.00</v>
          </cell>
          <cell r="B22" t="str">
            <v>TEKEL</v>
          </cell>
          <cell r="C22" t="str">
            <v>TEKEL TÜT.MAM.TUZ ALKOL İŞL. A.Ş.</v>
          </cell>
          <cell r="D22" t="str">
            <v xml:space="preserve">       -Yaprak Tütün İşl. ve Ticareti Müessesesi </v>
          </cell>
          <cell r="E22" t="str">
            <v xml:space="preserve">          -Aydın Yaprak Tütün İşletme Müdürlüğü</v>
          </cell>
          <cell r="F22" t="str">
            <v xml:space="preserve">          -Aydın Yaprak Tütün İşletme Müdürlüğü</v>
          </cell>
        </row>
        <row r="23">
          <cell r="A23" t="str">
            <v>1.01.00.04.06.01</v>
          </cell>
          <cell r="B23" t="str">
            <v>TEKEL</v>
          </cell>
          <cell r="C23" t="str">
            <v>TEKEL TÜT.MAM.TUZ ALKOL İŞL. A.Ş.</v>
          </cell>
          <cell r="D23" t="str">
            <v xml:space="preserve">       -Yaprak Tütün İşl. ve Ticareti Müessesesi </v>
          </cell>
          <cell r="E23" t="str">
            <v xml:space="preserve">          -Aydın Yaprak Tütün İşletme Müdürlüğü</v>
          </cell>
          <cell r="F23" t="str">
            <v xml:space="preserve">              -Bozdoğan Alım Memurluğu</v>
          </cell>
        </row>
        <row r="24">
          <cell r="A24" t="str">
            <v>1.01.00.04.06.02</v>
          </cell>
          <cell r="B24" t="str">
            <v>TEKEL</v>
          </cell>
          <cell r="C24" t="str">
            <v>TEKEL TÜT.MAM.TUZ ALKOL İŞL. A.Ş.</v>
          </cell>
          <cell r="D24" t="str">
            <v xml:space="preserve">       -Yaprak Tütün İşl. ve Ticareti Müessesesi </v>
          </cell>
          <cell r="E24" t="str">
            <v xml:space="preserve">          -Aydın Yaprak Tütün İşletme Müdürlüğü</v>
          </cell>
          <cell r="F24" t="str">
            <v xml:space="preserve">              -Karacasu Y.T.İşletme Müdürlüğü</v>
          </cell>
        </row>
        <row r="25">
          <cell r="A25" t="str">
            <v>1.01.00.04.06.03</v>
          </cell>
          <cell r="B25" t="str">
            <v>TEKEL</v>
          </cell>
          <cell r="C25" t="str">
            <v>TEKEL TÜT.MAM.TUZ ALKOL İŞL. A.Ş.</v>
          </cell>
          <cell r="D25" t="str">
            <v xml:space="preserve">       -Yaprak Tütün İşl. ve Ticareti Müessesesi </v>
          </cell>
          <cell r="E25" t="str">
            <v xml:space="preserve">          -Aydın Yaprak Tütün İşletme Müdürlüğü</v>
          </cell>
          <cell r="F25" t="str">
            <v xml:space="preserve">              -Söke Y.T.İşletme Müdürlüğü</v>
          </cell>
        </row>
        <row r="26">
          <cell r="A26" t="str">
            <v>1.01.00.04.07.00</v>
          </cell>
          <cell r="B26" t="str">
            <v>TEKEL</v>
          </cell>
          <cell r="C26" t="str">
            <v>TEKEL TÜT.MAM.TUZ ALKOL İŞL. A.Ş.</v>
          </cell>
          <cell r="D26" t="str">
            <v xml:space="preserve">       -Yaprak Tütün İşl. ve Ticareti Müessesesi </v>
          </cell>
          <cell r="E26" t="str">
            <v xml:space="preserve">          -Bafra Yaprak Tütün İşletme Müdürlüğü</v>
          </cell>
          <cell r="F26" t="str">
            <v xml:space="preserve">          -Bafra Yaprak Tütün İşletme Müdürlüğü</v>
          </cell>
        </row>
        <row r="27">
          <cell r="A27" t="str">
            <v>1.01.00.04.07.01</v>
          </cell>
          <cell r="B27" t="str">
            <v>TEKEL</v>
          </cell>
          <cell r="C27" t="str">
            <v>TEKEL TÜT.MAM.TUZ ALKOL İŞL. A.Ş.</v>
          </cell>
          <cell r="D27" t="str">
            <v xml:space="preserve">       -Yaprak Tütün İşl. ve Ticareti Müessesesi </v>
          </cell>
          <cell r="E27" t="str">
            <v xml:space="preserve">          -Bafra Yaprak Tütün İşletme Müdürlüğü</v>
          </cell>
          <cell r="F27" t="str">
            <v xml:space="preserve">              -Alaçam Y.T. İşletme Müdürlüğü</v>
          </cell>
        </row>
        <row r="28">
          <cell r="A28" t="str">
            <v>1.01.00.04.08.00</v>
          </cell>
          <cell r="B28" t="str">
            <v>TEKEL</v>
          </cell>
          <cell r="C28" t="str">
            <v>TEKEL TÜT.MAM.TUZ ALKOL İŞL. A.Ş.</v>
          </cell>
          <cell r="D28" t="str">
            <v xml:space="preserve">       -Yaprak Tütün İşl. ve Ticareti Müessesesi </v>
          </cell>
          <cell r="E28" t="str">
            <v xml:space="preserve">          -Balıkesir Yaprak Tütün İşletme Müdürlüğü</v>
          </cell>
          <cell r="F28" t="str">
            <v xml:space="preserve">          -Balıkesir Yaprak Tütün İşletme Müdürlüğü</v>
          </cell>
        </row>
        <row r="29">
          <cell r="A29" t="str">
            <v>1.01.00.04.08.01</v>
          </cell>
          <cell r="B29" t="str">
            <v>TEKEL</v>
          </cell>
          <cell r="C29" t="str">
            <v>TEKEL TÜT.MAM.TUZ ALKOL İŞL. A.Ş.</v>
          </cell>
          <cell r="D29" t="str">
            <v xml:space="preserve">       -Yaprak Tütün İşl. ve Ticareti Müessesesi </v>
          </cell>
          <cell r="E29" t="str">
            <v xml:space="preserve">          -Balıkesir Yaprak Tütün İşletme Müdürlüğü</v>
          </cell>
          <cell r="F29" t="str">
            <v xml:space="preserve">              -Sındırgı Y.T.İşletme Müdürlüğü</v>
          </cell>
        </row>
        <row r="30">
          <cell r="A30" t="str">
            <v>1.01.00.04.08.02</v>
          </cell>
          <cell r="B30" t="str">
            <v>TEKEL</v>
          </cell>
          <cell r="C30" t="str">
            <v>TEKEL TÜT.MAM.TUZ ALKOL İŞL. A.Ş.</v>
          </cell>
          <cell r="D30" t="str">
            <v xml:space="preserve">       -Yaprak Tütün İşl. ve Ticareti Müessesesi </v>
          </cell>
          <cell r="E30" t="str">
            <v xml:space="preserve">          -Balıkesir Yaprak Tütün İşletme Müdürlüğü</v>
          </cell>
          <cell r="F30" t="str">
            <v xml:space="preserve">              -Savaştepe Y.T Işletme Müdürlüğü</v>
          </cell>
        </row>
        <row r="31">
          <cell r="A31" t="str">
            <v>1.01.00.04.08.03</v>
          </cell>
          <cell r="B31" t="str">
            <v>TEKEL</v>
          </cell>
          <cell r="C31" t="str">
            <v>TEKEL TÜT.MAM.TUZ ALKOL İŞL. A.Ş.</v>
          </cell>
          <cell r="D31" t="str">
            <v xml:space="preserve">       -Yaprak Tütün İşl. ve Ticareti Müessesesi </v>
          </cell>
          <cell r="E31" t="str">
            <v xml:space="preserve">          -Balıkesir Yaprak Tütün İşletme Müdürlüğü</v>
          </cell>
          <cell r="F31" t="str">
            <v xml:space="preserve">              -İvrindi Y.T Işletme Müdürlüğü</v>
          </cell>
        </row>
        <row r="32">
          <cell r="A32" t="str">
            <v>1.01.00.04.08.04</v>
          </cell>
          <cell r="B32" t="str">
            <v>TEKEL</v>
          </cell>
          <cell r="C32" t="str">
            <v>TEKEL TÜT.MAM.TUZ ALKOL İŞL. A.Ş.</v>
          </cell>
          <cell r="D32" t="str">
            <v xml:space="preserve">       -Yaprak Tütün İşl. ve Ticareti Müessesesi </v>
          </cell>
          <cell r="E32" t="str">
            <v xml:space="preserve">          -Balıkesir Yaprak Tütün İşletme Müdürlüğü</v>
          </cell>
          <cell r="F32" t="str">
            <v xml:space="preserve">              -Bigadiç Y.T Işletme Müdürlüğü</v>
          </cell>
        </row>
        <row r="33">
          <cell r="A33" t="str">
            <v>1.01.00.04.08.05</v>
          </cell>
          <cell r="B33" t="str">
            <v>TEKEL</v>
          </cell>
          <cell r="C33" t="str">
            <v>TEKEL TÜT.MAM.TUZ ALKOL İŞL. A.Ş.</v>
          </cell>
          <cell r="D33" t="str">
            <v xml:space="preserve">       -Yaprak Tütün İşl. ve Ticareti Müessesesi </v>
          </cell>
          <cell r="E33" t="str">
            <v xml:space="preserve">          -Balıkesir Yaprak Tütün İşletme Müdürlüğü</v>
          </cell>
          <cell r="F33" t="str">
            <v xml:space="preserve">              -Altınova Y.T Işletme Müdürlüğü</v>
          </cell>
        </row>
        <row r="34">
          <cell r="A34" t="str">
            <v>1.01.00.04.09.00</v>
          </cell>
          <cell r="B34" t="str">
            <v>TEKEL</v>
          </cell>
          <cell r="C34" t="str">
            <v>TEKEL TÜT.MAM.TUZ ALKOL İŞL. A.Ş.</v>
          </cell>
          <cell r="D34" t="str">
            <v xml:space="preserve">       -Yaprak Tütün İşl. ve Ticareti Müessesesi </v>
          </cell>
          <cell r="E34" t="str">
            <v xml:space="preserve">          -Bandırma Yaprak Tütün İşletme Müdürlüğü</v>
          </cell>
          <cell r="F34" t="str">
            <v xml:space="preserve">          -Bandırma Yaprak Tütün İşletme Müdürlüğü</v>
          </cell>
        </row>
        <row r="35">
          <cell r="A35" t="str">
            <v>1.01.00.04.09.01</v>
          </cell>
          <cell r="B35" t="str">
            <v>TEKEL</v>
          </cell>
          <cell r="C35" t="str">
            <v>TEKEL TÜT.MAM.TUZ ALKOL İŞL. A.Ş.</v>
          </cell>
          <cell r="D35" t="str">
            <v xml:space="preserve">       -Yaprak Tütün İşl. ve Ticareti Müessesesi </v>
          </cell>
          <cell r="E35" t="str">
            <v xml:space="preserve">          -Bandırma Yaprak Tütün İşletme Müdürlüğü</v>
          </cell>
          <cell r="F35" t="str">
            <v xml:space="preserve">              -Hamdibey Y.T.İ.şletme Müdürlüğü</v>
          </cell>
        </row>
        <row r="36">
          <cell r="A36" t="str">
            <v>1.01.00.04.09.02</v>
          </cell>
          <cell r="B36" t="str">
            <v>TEKEL</v>
          </cell>
          <cell r="C36" t="str">
            <v>TEKEL TÜT.MAM.TUZ ALKOL İŞL. A.Ş.</v>
          </cell>
          <cell r="D36" t="str">
            <v xml:space="preserve">       -Yaprak Tütün İşl. ve Ticareti Müessesesi </v>
          </cell>
          <cell r="E36" t="str">
            <v xml:space="preserve">          -Bandırma Yaprak Tütün İşletme Müdürlüğü</v>
          </cell>
          <cell r="F36" t="str">
            <v xml:space="preserve">              -Yenice Y. T. İşletme Müdürlüğü</v>
          </cell>
        </row>
        <row r="37">
          <cell r="A37" t="str">
            <v>1.01.00.04.10.00</v>
          </cell>
          <cell r="B37" t="str">
            <v>TEKEL</v>
          </cell>
          <cell r="C37" t="str">
            <v>TEKEL TÜT.MAM.TUZ ALKOL İŞL. A.Ş.</v>
          </cell>
          <cell r="D37" t="str">
            <v xml:space="preserve">       -Yaprak Tütün İşl. ve Ticareti Müessesesi </v>
          </cell>
          <cell r="E37" t="str">
            <v xml:space="preserve">          -Batman Yaprak Tütün İşletme Müdürlüğü</v>
          </cell>
          <cell r="F37" t="str">
            <v xml:space="preserve">          -Batman Yaprak Tütün İşletme Müdürlüğü</v>
          </cell>
        </row>
        <row r="38">
          <cell r="A38" t="str">
            <v>1.01.00.04.10.01</v>
          </cell>
          <cell r="B38" t="str">
            <v>TEKEL</v>
          </cell>
          <cell r="C38" t="str">
            <v>TEKEL TÜT.MAM.TUZ ALKOL İŞL. A.Ş.</v>
          </cell>
          <cell r="D38" t="str">
            <v xml:space="preserve">       -Yaprak Tütün İşl. ve Ticareti Müessesesi </v>
          </cell>
          <cell r="E38" t="str">
            <v xml:space="preserve">          -Batman Yaprak Tütün İşletme Müdürlüğü</v>
          </cell>
          <cell r="F38" t="str">
            <v xml:space="preserve">              -Bekirhan Y.T.İşletme Müdürlüğü </v>
          </cell>
        </row>
        <row r="39">
          <cell r="A39" t="str">
            <v>1.01.00.04.10.02</v>
          </cell>
          <cell r="B39" t="str">
            <v>TEKEL</v>
          </cell>
          <cell r="C39" t="str">
            <v>TEKEL TÜT.MAM.TUZ ALKOL İŞL. A.Ş.</v>
          </cell>
          <cell r="D39" t="str">
            <v xml:space="preserve">       -Yaprak Tütün İşl. ve Ticareti Müessesesi </v>
          </cell>
          <cell r="E39" t="str">
            <v xml:space="preserve">          -Batman Yaprak Tütün İşletme Müdürlüğü</v>
          </cell>
          <cell r="F39" t="str">
            <v xml:space="preserve">              -Beşiri Y.T.İşletme Müdürlüğü</v>
          </cell>
        </row>
        <row r="40">
          <cell r="A40" t="str">
            <v>1.01.00.04.10.03</v>
          </cell>
          <cell r="B40" t="str">
            <v>TEKEL</v>
          </cell>
          <cell r="C40" t="str">
            <v>TEKEL TÜT.MAM.TUZ ALKOL İŞL. A.Ş.</v>
          </cell>
          <cell r="D40" t="str">
            <v xml:space="preserve">       -Yaprak Tütün İşl. ve Ticareti Müessesesi </v>
          </cell>
          <cell r="E40" t="str">
            <v xml:space="preserve">          -Batman Yaprak Tütün İşletme Müdürlüğü</v>
          </cell>
          <cell r="F40" t="str">
            <v xml:space="preserve">              -Kozluk Y.T.İşletme Müdürlüğü</v>
          </cell>
        </row>
        <row r="41">
          <cell r="A41" t="str">
            <v>1.01.00.04.10.04</v>
          </cell>
          <cell r="B41" t="str">
            <v>TEKEL</v>
          </cell>
          <cell r="C41" t="str">
            <v>TEKEL TÜT.MAM.TUZ ALKOL İŞL. A.Ş.</v>
          </cell>
          <cell r="D41" t="str">
            <v xml:space="preserve">       -Yaprak Tütün İşl. ve Ticareti Müessesesi </v>
          </cell>
          <cell r="E41" t="str">
            <v xml:space="preserve">          -Batman Yaprak Tütün İşletme Müdürlüğü</v>
          </cell>
          <cell r="F41" t="str">
            <v xml:space="preserve">              -Kurtalan Y.T.İşletme Müdürlüğü</v>
          </cell>
        </row>
        <row r="42">
          <cell r="A42" t="str">
            <v>1.01.00.04.10.05</v>
          </cell>
          <cell r="B42" t="str">
            <v>TEKEL</v>
          </cell>
          <cell r="C42" t="str">
            <v>TEKEL TÜT.MAM.TUZ ALKOL İŞL. A.Ş.</v>
          </cell>
          <cell r="D42" t="str">
            <v xml:space="preserve">       -Yaprak Tütün İşl. ve Ticareti Müessesesi </v>
          </cell>
          <cell r="E42" t="str">
            <v xml:space="preserve">          -Batman Yaprak Tütün İşletme Müdürlüğü</v>
          </cell>
          <cell r="F42" t="str">
            <v xml:space="preserve">              -Sason Y.T.İşletme Müdürlüğü</v>
          </cell>
        </row>
        <row r="43">
          <cell r="A43" t="str">
            <v>1.01.00.04.11.00</v>
          </cell>
          <cell r="B43" t="str">
            <v>TEKEL</v>
          </cell>
          <cell r="C43" t="str">
            <v>TEKEL TÜT.MAM.TUZ ALKOL İŞL. A.Ş.</v>
          </cell>
          <cell r="D43" t="str">
            <v xml:space="preserve">       -Yaprak Tütün İşl. ve Ticareti Müessesesi </v>
          </cell>
          <cell r="E43" t="str">
            <v xml:space="preserve">          -Bitlis Yaprak Tütün İşletme Müdürlüğü</v>
          </cell>
          <cell r="F43" t="str">
            <v xml:space="preserve">          -Bitlis Yaprak Tütün İşletme Müdürlüğü</v>
          </cell>
        </row>
        <row r="44">
          <cell r="A44" t="str">
            <v>1.01.00.04.11.01</v>
          </cell>
          <cell r="B44" t="str">
            <v>TEKEL</v>
          </cell>
          <cell r="C44" t="str">
            <v>TEKEL TÜT.MAM.TUZ ALKOL İŞL. A.Ş.</v>
          </cell>
          <cell r="D44" t="str">
            <v xml:space="preserve">       -Yaprak Tütün İşl. ve Ticareti Müessesesi </v>
          </cell>
          <cell r="E44" t="str">
            <v xml:space="preserve">          -Bitlis Yaprak Tütün İşletme Müdürlüğü</v>
          </cell>
          <cell r="F44" t="str">
            <v xml:space="preserve">              -Mutki Y.T. Bakım Deposu</v>
          </cell>
        </row>
        <row r="45">
          <cell r="A45" t="str">
            <v>1.01.00.04.11.02</v>
          </cell>
          <cell r="B45" t="str">
            <v>TEKEL</v>
          </cell>
          <cell r="C45" t="str">
            <v>TEKEL TÜT.MAM.TUZ ALKOL İŞL. A.Ş.</v>
          </cell>
          <cell r="D45" t="str">
            <v xml:space="preserve">       -Yaprak Tütün İşl. ve Ticareti Müessesesi </v>
          </cell>
          <cell r="E45" t="str">
            <v xml:space="preserve">          -Bitlis Yaprak Tütün İşletme Müdürlüğü</v>
          </cell>
          <cell r="F45" t="str">
            <v xml:space="preserve">              -Tatvan Y.T. Bakım Deposu</v>
          </cell>
        </row>
        <row r="46">
          <cell r="A46" t="str">
            <v>1.01.00.04.12.00</v>
          </cell>
          <cell r="B46" t="str">
            <v>TEKEL</v>
          </cell>
          <cell r="C46" t="str">
            <v>TEKEL TÜT.MAM.TUZ ALKOL İŞL. A.Ş.</v>
          </cell>
          <cell r="D46" t="str">
            <v xml:space="preserve">       -Yaprak Tütün İşl. ve Ticareti Müessesesi </v>
          </cell>
          <cell r="E46" t="str">
            <v xml:space="preserve">          -Şemdinli Y.T. Bakım Deposu</v>
          </cell>
          <cell r="F46" t="str">
            <v xml:space="preserve">          -Şemdinli Y.T. Bakım Deposu</v>
          </cell>
        </row>
        <row r="47">
          <cell r="A47" t="str">
            <v>1.01.00.04.13.00</v>
          </cell>
          <cell r="B47" t="str">
            <v>TEKEL</v>
          </cell>
          <cell r="C47" t="str">
            <v>TEKEL TÜT.MAM.TUZ ALKOL İŞL. A.Ş.</v>
          </cell>
          <cell r="D47" t="str">
            <v xml:space="preserve">       -Yaprak Tütün İşl. ve Ticareti Müessesesi </v>
          </cell>
          <cell r="E47" t="str">
            <v xml:space="preserve">          -Bursa Yaprak Tütün İşletme Müdürlüğü</v>
          </cell>
          <cell r="F47" t="str">
            <v xml:space="preserve">          -Bursa Yaprak Tütün İşletme Müdürlüğü</v>
          </cell>
        </row>
        <row r="48">
          <cell r="A48" t="str">
            <v>1.01.00.04.13.01</v>
          </cell>
          <cell r="B48" t="str">
            <v>TEKEL</v>
          </cell>
          <cell r="C48" t="str">
            <v>TEKEL TÜT.MAM.TUZ ALKOL İŞL. A.Ş.</v>
          </cell>
          <cell r="D48" t="str">
            <v xml:space="preserve">       -Yaprak Tütün İşl. ve Ticareti Müessesesi </v>
          </cell>
          <cell r="E48" t="str">
            <v xml:space="preserve">          -Bursa Yaprak Tütün İşletme Müdürlüğü</v>
          </cell>
          <cell r="F48" t="str">
            <v xml:space="preserve">              -İnegöl Y.T.İşletme Müdürlüğü</v>
          </cell>
        </row>
        <row r="49">
          <cell r="A49" t="str">
            <v>1.01.00.04.13.02</v>
          </cell>
          <cell r="B49" t="str">
            <v>TEKEL</v>
          </cell>
          <cell r="C49" t="str">
            <v>TEKEL TÜT.MAM.TUZ ALKOL İŞL. A.Ş.</v>
          </cell>
          <cell r="D49" t="str">
            <v xml:space="preserve">       -Yaprak Tütün İşl. ve Ticareti Müessesesi </v>
          </cell>
          <cell r="E49" t="str">
            <v xml:space="preserve">          -Bursa Yaprak Tütün İşletme Müdürlüğü</v>
          </cell>
          <cell r="F49" t="str">
            <v xml:space="preserve">              -Kemalpaşa Y.T.İşletme Müdürlüğü</v>
          </cell>
        </row>
        <row r="50">
          <cell r="A50" t="str">
            <v>1.01.00.04.13.03</v>
          </cell>
          <cell r="B50" t="str">
            <v>TEKEL</v>
          </cell>
          <cell r="C50" t="str">
            <v>TEKEL TÜT.MAM.TUZ ALKOL İŞL. A.Ş.</v>
          </cell>
          <cell r="D50" t="str">
            <v xml:space="preserve">       -Yaprak Tütün İşl. ve Ticareti Müessesesi </v>
          </cell>
          <cell r="E50" t="str">
            <v xml:space="preserve">          -Bursa Yaprak Tütün İşletme Müdürlüğü</v>
          </cell>
          <cell r="F50" t="str">
            <v xml:space="preserve">              -Keles Y.T. Alım Deposu</v>
          </cell>
        </row>
        <row r="51">
          <cell r="A51" t="str">
            <v>1.01.00.04.13.04</v>
          </cell>
          <cell r="B51" t="str">
            <v>TEKEL</v>
          </cell>
          <cell r="C51" t="str">
            <v>TEKEL TÜT.MAM.TUZ ALKOL İŞL. A.Ş.</v>
          </cell>
          <cell r="D51" t="str">
            <v xml:space="preserve">       -Yaprak Tütün İşl. ve Ticareti Müessesesi </v>
          </cell>
          <cell r="E51" t="str">
            <v xml:space="preserve">          -Bursa Yaprak Tütün İşletme Müdürlüğü</v>
          </cell>
          <cell r="F51" t="str">
            <v xml:space="preserve">              -Karaçalı Bakım Deposu</v>
          </cell>
        </row>
        <row r="52">
          <cell r="A52" t="str">
            <v>1.01.00.04.14.00</v>
          </cell>
          <cell r="B52" t="str">
            <v>TEKEL</v>
          </cell>
          <cell r="C52" t="str">
            <v>TEKEL TÜT.MAM.TUZ ALKOL İŞL. A.Ş.</v>
          </cell>
          <cell r="D52" t="str">
            <v xml:space="preserve">       -Yaprak Tütün İşl. ve Ticareti Müessesesi </v>
          </cell>
          <cell r="E52" t="str">
            <v xml:space="preserve">          -Denizli Yaprak Tütün İşletme Müdürlüğü</v>
          </cell>
          <cell r="F52" t="str">
            <v xml:space="preserve">          -Denizli Yaprak Tütün İşletme Müdürlüğü</v>
          </cell>
        </row>
        <row r="53">
          <cell r="A53" t="str">
            <v>1.01.00.04.14.01</v>
          </cell>
          <cell r="B53" t="str">
            <v>TEKEL</v>
          </cell>
          <cell r="C53" t="str">
            <v>TEKEL TÜT.MAM.TUZ ALKOL İŞL. A.Ş.</v>
          </cell>
          <cell r="D53" t="str">
            <v xml:space="preserve">       -Yaprak Tütün İşl. ve Ticareti Müessesesi </v>
          </cell>
          <cell r="E53" t="str">
            <v xml:space="preserve">          -Denizli Yaprak Tütün İşletme Müdürlüğü</v>
          </cell>
          <cell r="F53" t="str">
            <v xml:space="preserve">              -Acıpayam Y.T. İşletme Müdürlüğü</v>
          </cell>
        </row>
        <row r="54">
          <cell r="A54" t="str">
            <v>1.01.00.04.14.02</v>
          </cell>
          <cell r="B54" t="str">
            <v>TEKEL</v>
          </cell>
          <cell r="C54" t="str">
            <v>TEKEL TÜT.MAM.TUZ ALKOL İŞL. A.Ş.</v>
          </cell>
          <cell r="D54" t="str">
            <v xml:space="preserve">       -Yaprak Tütün İşl. ve Ticareti Müessesesi </v>
          </cell>
          <cell r="E54" t="str">
            <v xml:space="preserve">          -Denizli Yaprak Tütün İşletme Müdürlüğü</v>
          </cell>
          <cell r="F54" t="str">
            <v xml:space="preserve">              -Bekilli Bakım Amirliği</v>
          </cell>
        </row>
        <row r="55">
          <cell r="A55" t="str">
            <v>1.01.00.04.14.03</v>
          </cell>
          <cell r="B55" t="str">
            <v>TEKEL</v>
          </cell>
          <cell r="C55" t="str">
            <v>TEKEL TÜT.MAM.TUZ ALKOL İŞL. A.Ş.</v>
          </cell>
          <cell r="D55" t="str">
            <v xml:space="preserve">       -Yaprak Tütün İşl. ve Ticareti Müessesesi </v>
          </cell>
          <cell r="E55" t="str">
            <v xml:space="preserve">          -Denizli Yaprak Tütün İşletme Müdürlüğü</v>
          </cell>
          <cell r="F55" t="str">
            <v xml:space="preserve">              -Çivril Y.T.İşletme Müdürlüğü</v>
          </cell>
        </row>
        <row r="56">
          <cell r="A56" t="str">
            <v>1.01.00.04.14.04</v>
          </cell>
          <cell r="B56" t="str">
            <v>TEKEL</v>
          </cell>
          <cell r="C56" t="str">
            <v>TEKEL TÜT.MAM.TUZ ALKOL İŞL. A.Ş.</v>
          </cell>
          <cell r="D56" t="str">
            <v xml:space="preserve">       -Yaprak Tütün İşl. ve Ticareti Müessesesi </v>
          </cell>
          <cell r="E56" t="str">
            <v xml:space="preserve">          -Denizli Yaprak Tütün İşletme Müdürlüğü</v>
          </cell>
          <cell r="F56" t="str">
            <v xml:space="preserve">              -Güney Y.T.İşletme Müdürlüğü</v>
          </cell>
        </row>
        <row r="57">
          <cell r="A57" t="str">
            <v>1.01.00.04.14.05</v>
          </cell>
          <cell r="B57" t="str">
            <v>TEKEL</v>
          </cell>
          <cell r="C57" t="str">
            <v>TEKEL TÜT.MAM.TUZ ALKOL İŞL. A.Ş.</v>
          </cell>
          <cell r="D57" t="str">
            <v xml:space="preserve">       -Yaprak Tütün İşl. ve Ticareti Müessesesi </v>
          </cell>
          <cell r="E57" t="str">
            <v xml:space="preserve">          -Denizli Yaprak Tütün İşletme Müdürlüğü</v>
          </cell>
          <cell r="F57" t="str">
            <v xml:space="preserve">              -Nazilli Alım Memurluğu</v>
          </cell>
        </row>
        <row r="58">
          <cell r="A58" t="str">
            <v>1.01.00.04.14.06</v>
          </cell>
          <cell r="B58" t="str">
            <v>TEKEL</v>
          </cell>
          <cell r="C58" t="str">
            <v>TEKEL TÜT.MAM.TUZ ALKOL İŞL. A.Ş.</v>
          </cell>
          <cell r="D58" t="str">
            <v xml:space="preserve">       -Yaprak Tütün İşl. ve Ticareti Müessesesi </v>
          </cell>
          <cell r="E58" t="str">
            <v xml:space="preserve">          -Denizli Yaprak Tütün İşletme Müdürlüğü</v>
          </cell>
          <cell r="F58" t="str">
            <v xml:space="preserve">              -Tavas Y.T.İşletme Müdürlüğü</v>
          </cell>
        </row>
        <row r="59">
          <cell r="A59" t="str">
            <v>1.01.00.04.14.07</v>
          </cell>
          <cell r="B59" t="str">
            <v>TEKEL</v>
          </cell>
          <cell r="C59" t="str">
            <v>TEKEL TÜT.MAM.TUZ ALKOL İŞL. A.Ş.</v>
          </cell>
          <cell r="D59" t="str">
            <v xml:space="preserve">       -Yaprak Tütün İşl. ve Ticareti Müessesesi </v>
          </cell>
          <cell r="E59" t="str">
            <v xml:space="preserve">          -Denizli Yaprak Tütün İşletme Müdürlüğü</v>
          </cell>
          <cell r="F59" t="str">
            <v xml:space="preserve">              -Kale Y.T. İşletme Müdürlüğü</v>
          </cell>
        </row>
        <row r="60">
          <cell r="A60" t="str">
            <v>1.01.00.04.14.08</v>
          </cell>
          <cell r="B60" t="str">
            <v>TEKEL</v>
          </cell>
          <cell r="C60" t="str">
            <v>TEKEL TÜT.MAM.TUZ ALKOL İŞL. A.Ş.</v>
          </cell>
          <cell r="D60" t="str">
            <v xml:space="preserve">       -Yaprak Tütün İşl. ve Ticareti Müessesesi </v>
          </cell>
          <cell r="E60" t="str">
            <v xml:space="preserve">          -Denizli Yaprak Tütün İşletme Müdürlüğü</v>
          </cell>
          <cell r="F60" t="str">
            <v xml:space="preserve">              -Serinhisar Y.T.İşletme Müdürlüğü</v>
          </cell>
        </row>
        <row r="61">
          <cell r="A61" t="str">
            <v>1.01.00.04.14.09</v>
          </cell>
          <cell r="B61" t="str">
            <v>TEKEL</v>
          </cell>
          <cell r="C61" t="str">
            <v>TEKEL TÜT.MAM.TUZ ALKOL İŞL. A.Ş.</v>
          </cell>
          <cell r="D61" t="str">
            <v xml:space="preserve">       -Yaprak Tütün İşl. ve Ticareti Müessesesi </v>
          </cell>
          <cell r="E61" t="str">
            <v xml:space="preserve">          -Denizli Yaprak Tütün İşletme Müdürlüğü</v>
          </cell>
          <cell r="F61" t="str">
            <v xml:space="preserve">              -Buldan Y.T. İşletme Müdürlüğü</v>
          </cell>
        </row>
        <row r="62">
          <cell r="A62" t="str">
            <v>1.01.00.04.15.00</v>
          </cell>
          <cell r="B62" t="str">
            <v>TEKEL</v>
          </cell>
          <cell r="C62" t="str">
            <v>TEKEL TÜT.MAM.TUZ ALKOL İŞL. A.Ş.</v>
          </cell>
          <cell r="D62" t="str">
            <v xml:space="preserve">       -Yaprak Tütün İşl. ve Ticareti Müessesesi </v>
          </cell>
          <cell r="E62" t="str">
            <v xml:space="preserve">          -Diyarbakır Tütün İşletme Fab.  Müdürlüğü</v>
          </cell>
          <cell r="F62" t="str">
            <v xml:space="preserve">          -Diyarbakır Tütün İşletme Fab.  Müdürlüğü</v>
          </cell>
        </row>
        <row r="63">
          <cell r="A63" t="str">
            <v>1.01.00.04.15.01</v>
          </cell>
          <cell r="B63" t="str">
            <v>TEKEL</v>
          </cell>
          <cell r="C63" t="str">
            <v>TEKEL TÜT.MAM.TUZ ALKOL İŞL. A.Ş.</v>
          </cell>
          <cell r="D63" t="str">
            <v xml:space="preserve">       -Yaprak Tütün İşl. ve Ticareti Müessesesi </v>
          </cell>
          <cell r="E63" t="str">
            <v xml:space="preserve">          -Diyarbakır Tütün İşletme Fab.  Müdürlüğü</v>
          </cell>
          <cell r="F63" t="str">
            <v xml:space="preserve">              -Diyarbakır Y.T. İşletme Müdürlüğü</v>
          </cell>
        </row>
        <row r="64">
          <cell r="A64" t="str">
            <v>1.01.00.04.15.02</v>
          </cell>
          <cell r="B64" t="str">
            <v>TEKEL</v>
          </cell>
          <cell r="C64" t="str">
            <v>TEKEL TÜT.MAM.TUZ ALKOL İŞL. A.Ş.</v>
          </cell>
          <cell r="D64" t="str">
            <v xml:space="preserve">       -Yaprak Tütün İşl. ve Ticareti Müessesesi </v>
          </cell>
          <cell r="E64" t="str">
            <v xml:space="preserve">          -Diyarbakır Tütün İşletme Fab.  Müdürlüğü</v>
          </cell>
          <cell r="F64" t="str">
            <v xml:space="preserve">              -Silvan Y.T.İşletme Müdürlüğü</v>
          </cell>
        </row>
        <row r="65">
          <cell r="A65" t="str">
            <v>1.01.00.04.15.03</v>
          </cell>
          <cell r="B65" t="str">
            <v>TEKEL</v>
          </cell>
          <cell r="C65" t="str">
            <v>TEKEL TÜT.MAM.TUZ ALKOL İŞL. A.Ş.</v>
          </cell>
          <cell r="D65" t="str">
            <v xml:space="preserve">       -Yaprak Tütün İşl. ve Ticareti Müessesesi </v>
          </cell>
          <cell r="E65" t="str">
            <v xml:space="preserve">          -Diyarbakır Tütün İşletme Fab.  Müdürlüğü</v>
          </cell>
          <cell r="F65" t="str">
            <v xml:space="preserve">              -Bismil Y.T.İşletme Müdürlüğü</v>
          </cell>
        </row>
        <row r="66">
          <cell r="A66" t="str">
            <v>1.01.00.04.16.00</v>
          </cell>
          <cell r="B66" t="str">
            <v>TEKEL</v>
          </cell>
          <cell r="C66" t="str">
            <v>TEKEL TÜT.MAM.TUZ ALKOL İŞL. A.Ş.</v>
          </cell>
          <cell r="D66" t="str">
            <v xml:space="preserve">       -Yaprak Tütün İşl. ve Ticareti Müessesesi </v>
          </cell>
          <cell r="E66" t="str">
            <v xml:space="preserve">           -Hatay Yaprak Tütün İşletme Müdürlüğü</v>
          </cell>
          <cell r="F66" t="str">
            <v xml:space="preserve">           -Hatay Yaprak Tütün İşletme Müdürlüğü</v>
          </cell>
        </row>
        <row r="67">
          <cell r="A67" t="str">
            <v>1.01.00.04.16.01</v>
          </cell>
          <cell r="B67" t="str">
            <v>TEKEL</v>
          </cell>
          <cell r="C67" t="str">
            <v>TEKEL TÜT.MAM.TUZ ALKOL İŞL. A.Ş.</v>
          </cell>
          <cell r="D67" t="str">
            <v xml:space="preserve">       -Yaprak Tütün İşl. ve Ticareti Müessesesi </v>
          </cell>
          <cell r="E67" t="str">
            <v xml:space="preserve">           -Hatay Yaprak Tütün İşletme Müdürlüğü</v>
          </cell>
          <cell r="F67" t="str">
            <v xml:space="preserve">              -İskenderun Y.T. İşletme Müdürlüğü</v>
          </cell>
        </row>
        <row r="68">
          <cell r="A68" t="str">
            <v>1.01.00.04.16.02</v>
          </cell>
          <cell r="B68" t="str">
            <v>TEKEL</v>
          </cell>
          <cell r="C68" t="str">
            <v>TEKEL TÜT.MAM.TUZ ALKOL İŞL. A.Ş.</v>
          </cell>
          <cell r="D68" t="str">
            <v xml:space="preserve">       -Yaprak Tütün İşl. ve Ticareti Müessesesi </v>
          </cell>
          <cell r="E68" t="str">
            <v xml:space="preserve">           -Hatay Yaprak Tütün İşletme Müdürlüğü</v>
          </cell>
          <cell r="F68" t="str">
            <v xml:space="preserve">              -Yayladağ Y.T. İşletme Müdürlüğü</v>
          </cell>
        </row>
        <row r="69">
          <cell r="A69" t="str">
            <v>1.01.00.04.16.03</v>
          </cell>
          <cell r="B69" t="str">
            <v>TEKEL</v>
          </cell>
          <cell r="C69" t="str">
            <v>TEKEL TÜT.MAM.TUZ ALKOL İŞL. A.Ş.</v>
          </cell>
          <cell r="D69" t="str">
            <v xml:space="preserve">       -Yaprak Tütün İşl. ve Ticareti Müessesesi </v>
          </cell>
          <cell r="E69" t="str">
            <v xml:space="preserve">           -Hatay Yaprak Tütün İşletme Müdürlüğü</v>
          </cell>
          <cell r="F69" t="str">
            <v xml:space="preserve">              -Altınözü Y.T. İşletme Müdürlüğü</v>
          </cell>
        </row>
        <row r="70">
          <cell r="A70" t="str">
            <v>1.01.00.04.16.04</v>
          </cell>
          <cell r="B70" t="str">
            <v>TEKEL</v>
          </cell>
          <cell r="C70" t="str">
            <v>TEKEL TÜT.MAM.TUZ ALKOL İŞL. A.Ş.</v>
          </cell>
          <cell r="D70" t="str">
            <v xml:space="preserve">       -Yaprak Tütün İşl. ve Ticareti Müessesesi </v>
          </cell>
          <cell r="E70" t="str">
            <v xml:space="preserve">           -Hatay Yaprak Tütün İşletme Müdürlüğü</v>
          </cell>
          <cell r="F70" t="str">
            <v xml:space="preserve">              -Hassa Bakım Amirliği</v>
          </cell>
        </row>
        <row r="71">
          <cell r="A71" t="str">
            <v>1.01.00.04.17.00</v>
          </cell>
          <cell r="B71" t="str">
            <v>TEKEL</v>
          </cell>
          <cell r="C71" t="str">
            <v>TEKEL TÜT.MAM.TUZ ALKOL İŞL. A.Ş.</v>
          </cell>
          <cell r="D71" t="str">
            <v xml:space="preserve">       -Yaprak Tütün İşl. ve Ticareti Müessesesi </v>
          </cell>
          <cell r="E71" t="str">
            <v xml:space="preserve">           -İstanbul Yaprak Tütün İşletme Müdürlüğü</v>
          </cell>
          <cell r="F71" t="str">
            <v xml:space="preserve">           -İstanbul Yaprak Tütün İşletme Müdürlüğü</v>
          </cell>
        </row>
        <row r="72">
          <cell r="A72" t="str">
            <v>1.01.00.04.17.01</v>
          </cell>
          <cell r="B72" t="str">
            <v>TEKEL</v>
          </cell>
          <cell r="C72" t="str">
            <v>TEKEL TÜT.MAM.TUZ ALKOL İŞL. A.Ş.</v>
          </cell>
          <cell r="D72" t="str">
            <v xml:space="preserve">       -Yaprak Tütün İşl. ve Ticareti Müessesesi </v>
          </cell>
          <cell r="E72" t="str">
            <v xml:space="preserve">           -İstanbul Yaprak Tütün İşletme Müdürlüğü</v>
          </cell>
          <cell r="F72" t="str">
            <v xml:space="preserve">               -Şarköy Y.T. İşletme müdürlüğü</v>
          </cell>
        </row>
        <row r="73">
          <cell r="A73" t="str">
            <v>1.01.00.04.18.00</v>
          </cell>
          <cell r="B73" t="str">
            <v>TEKEL</v>
          </cell>
          <cell r="C73" t="str">
            <v>TEKEL TÜT.MAM.TUZ ALKOL İŞL. A.Ş.</v>
          </cell>
          <cell r="D73" t="str">
            <v xml:space="preserve">       -Yaprak Tütün İşl. ve Ticareti Müessesesi </v>
          </cell>
          <cell r="E73" t="str">
            <v xml:space="preserve">           -İzmir Yaprak Tütün İşletme Müdürlüğü</v>
          </cell>
          <cell r="F73" t="str">
            <v xml:space="preserve">           -İzmir Yaprak Tütün İşletme Müdürlüğü</v>
          </cell>
        </row>
        <row r="74">
          <cell r="A74" t="str">
            <v>1.01.00.04.18.01</v>
          </cell>
          <cell r="B74" t="str">
            <v>TEKEL</v>
          </cell>
          <cell r="C74" t="str">
            <v>TEKEL TÜT.MAM.TUZ ALKOL İŞL. A.Ş.</v>
          </cell>
          <cell r="D74" t="str">
            <v xml:space="preserve">       -Yaprak Tütün İşl. ve Ticareti Müessesesi </v>
          </cell>
          <cell r="E74" t="str">
            <v xml:space="preserve">           -İzmir Yaprak Tütün İşletme Müdürlüğü</v>
          </cell>
          <cell r="F74" t="str">
            <v xml:space="preserve">                -Alsancak Bakım Amirliği</v>
          </cell>
        </row>
        <row r="75">
          <cell r="A75" t="str">
            <v>1.01.00.04.18.02</v>
          </cell>
          <cell r="B75" t="str">
            <v>TEKEL</v>
          </cell>
          <cell r="C75" t="str">
            <v>TEKEL TÜT.MAM.TUZ ALKOL İŞL. A.Ş.</v>
          </cell>
          <cell r="D75" t="str">
            <v xml:space="preserve">       -Yaprak Tütün İşl. ve Ticareti Müessesesi </v>
          </cell>
          <cell r="E75" t="str">
            <v xml:space="preserve">           -İzmir Yaprak Tütün İşletme Müdürlüğü</v>
          </cell>
          <cell r="F75" t="str">
            <v xml:space="preserve">                -Balatçık Y.T. İşletme Müdürlüğü</v>
          </cell>
        </row>
        <row r="76">
          <cell r="A76" t="str">
            <v>1.01.00.04.18.03</v>
          </cell>
          <cell r="B76" t="str">
            <v>TEKEL</v>
          </cell>
          <cell r="C76" t="str">
            <v>TEKEL TÜT.MAM.TUZ ALKOL İŞL. A.Ş.</v>
          </cell>
          <cell r="D76" t="str">
            <v xml:space="preserve">       -Yaprak Tütün İşl. ve Ticareti Müessesesi </v>
          </cell>
          <cell r="E76" t="str">
            <v xml:space="preserve">           -İzmir Yaprak Tütün İşletme Müdürlüğü</v>
          </cell>
          <cell r="F76" t="str">
            <v xml:space="preserve">                -Bergama Y.T. İşletme Müdürlüğü</v>
          </cell>
        </row>
        <row r="77">
          <cell r="A77" t="str">
            <v>1.01.00.04.18.04</v>
          </cell>
          <cell r="B77" t="str">
            <v>TEKEL</v>
          </cell>
          <cell r="C77" t="str">
            <v>TEKEL TÜT.MAM.TUZ ALKOL İŞL. A.Ş.</v>
          </cell>
          <cell r="D77" t="str">
            <v xml:space="preserve">       -Yaprak Tütün İşl. ve Ticareti Müessesesi </v>
          </cell>
          <cell r="E77" t="str">
            <v xml:space="preserve">           -İzmir Yaprak Tütün İşletme Müdürlüğü</v>
          </cell>
          <cell r="F77" t="str">
            <v xml:space="preserve">                -Dikili Y.T. İşletme müdürlüğü</v>
          </cell>
        </row>
        <row r="78">
          <cell r="A78" t="str">
            <v>1.01.00.04.18.05</v>
          </cell>
          <cell r="B78" t="str">
            <v>TEKEL</v>
          </cell>
          <cell r="C78" t="str">
            <v>TEKEL TÜT.MAM.TUZ ALKOL İŞL. A.Ş.</v>
          </cell>
          <cell r="D78" t="str">
            <v xml:space="preserve">       -Yaprak Tütün İşl. ve Ticareti Müessesesi </v>
          </cell>
          <cell r="E78" t="str">
            <v xml:space="preserve">           -İzmir Yaprak Tütün İşletme Müdürlüğü</v>
          </cell>
          <cell r="F78" t="str">
            <v xml:space="preserve">                -Hatundere Y.T. İşletme müdürlüğü</v>
          </cell>
        </row>
        <row r="79">
          <cell r="A79" t="str">
            <v>1.01.00.04.18.06</v>
          </cell>
          <cell r="B79" t="str">
            <v>TEKEL</v>
          </cell>
          <cell r="C79" t="str">
            <v>TEKEL TÜT.MAM.TUZ ALKOL İŞL. A.Ş.</v>
          </cell>
          <cell r="D79" t="str">
            <v xml:space="preserve">       -Yaprak Tütün İşl. ve Ticareti Müessesesi </v>
          </cell>
          <cell r="E79" t="str">
            <v xml:space="preserve">           -İzmir Yaprak Tütün İşletme Müdürlüğü</v>
          </cell>
          <cell r="F79" t="str">
            <v xml:space="preserve">                -Kemalpaşa Y.T. İşletme müdürlüğü</v>
          </cell>
        </row>
        <row r="80">
          <cell r="A80" t="str">
            <v>1.01.00.04.18.07</v>
          </cell>
          <cell r="B80" t="str">
            <v>TEKEL</v>
          </cell>
          <cell r="C80" t="str">
            <v>TEKEL TÜT.MAM.TUZ ALKOL İŞL. A.Ş.</v>
          </cell>
          <cell r="D80" t="str">
            <v xml:space="preserve">       -Yaprak Tütün İşl. ve Ticareti Müessesesi </v>
          </cell>
          <cell r="E80" t="str">
            <v xml:space="preserve">           -İzmir Yaprak Tütün İşletme Müdürlüğü</v>
          </cell>
          <cell r="F80" t="str">
            <v xml:space="preserve">                -Kınık Y.T. İşletme müdürlüğü</v>
          </cell>
        </row>
        <row r="81">
          <cell r="A81" t="str">
            <v>1.01.00.04.18.08</v>
          </cell>
          <cell r="B81" t="str">
            <v>TEKEL</v>
          </cell>
          <cell r="C81" t="str">
            <v>TEKEL TÜT.MAM.TUZ ALKOL İŞL. A.Ş.</v>
          </cell>
          <cell r="D81" t="str">
            <v xml:space="preserve">       -Yaprak Tütün İşl. ve Ticareti Müessesesi </v>
          </cell>
          <cell r="E81" t="str">
            <v xml:space="preserve">           -İzmir Yaprak Tütün İşletme Müdürlüğü</v>
          </cell>
          <cell r="F81" t="str">
            <v xml:space="preserve">                -Kiraz Y.T. İşletme müdürlüğü</v>
          </cell>
        </row>
        <row r="82">
          <cell r="A82" t="str">
            <v>1.01.00.04.18.09</v>
          </cell>
          <cell r="B82" t="str">
            <v>TEKEL</v>
          </cell>
          <cell r="C82" t="str">
            <v>TEKEL TÜT.MAM.TUZ ALKOL İŞL. A.Ş.</v>
          </cell>
          <cell r="D82" t="str">
            <v xml:space="preserve">       -Yaprak Tütün İşl. ve Ticareti Müessesesi </v>
          </cell>
          <cell r="E82" t="str">
            <v xml:space="preserve">           -İzmir Yaprak Tütün İşletme Müdürlüğü</v>
          </cell>
          <cell r="F82" t="str">
            <v xml:space="preserve">                -M. Kemalpaşa Y.T. İşletme müdürlüğü</v>
          </cell>
        </row>
        <row r="83">
          <cell r="A83" t="str">
            <v>1.01.00.04.18.10</v>
          </cell>
          <cell r="B83" t="str">
            <v>TEKEL</v>
          </cell>
          <cell r="C83" t="str">
            <v>TEKEL TÜT.MAM.TUZ ALKOL İŞL. A.Ş.</v>
          </cell>
          <cell r="D83" t="str">
            <v xml:space="preserve">       -Yaprak Tütün İşl. ve Ticareti Müessesesi </v>
          </cell>
          <cell r="E83" t="str">
            <v xml:space="preserve">           -İzmir Yaprak Tütün İşletme Müdürlüğü</v>
          </cell>
          <cell r="F83" t="str">
            <v xml:space="preserve">                -Menderes Y.T. İşletme müdürlüğü</v>
          </cell>
        </row>
        <row r="84">
          <cell r="A84" t="str">
            <v>1.01.00.04.18.11</v>
          </cell>
          <cell r="B84" t="str">
            <v>TEKEL</v>
          </cell>
          <cell r="C84" t="str">
            <v>TEKEL TÜT.MAM.TUZ ALKOL İŞL. A.Ş.</v>
          </cell>
          <cell r="D84" t="str">
            <v xml:space="preserve">       -Yaprak Tütün İşl. ve Ticareti Müessesesi </v>
          </cell>
          <cell r="E84" t="str">
            <v xml:space="preserve">           -İzmir Yaprak Tütün İşletme Müdürlüğü</v>
          </cell>
          <cell r="F84" t="str">
            <v xml:space="preserve">                -Menemen Y.T. İşletme müdürlüğü</v>
          </cell>
        </row>
        <row r="85">
          <cell r="A85" t="str">
            <v>1.01.00.04.18.12</v>
          </cell>
          <cell r="B85" t="str">
            <v>TEKEL</v>
          </cell>
          <cell r="C85" t="str">
            <v>TEKEL TÜT.MAM.TUZ ALKOL İŞL. A.Ş.</v>
          </cell>
          <cell r="D85" t="str">
            <v xml:space="preserve">       -Yaprak Tütün İşl. ve Ticareti Müessesesi </v>
          </cell>
          <cell r="E85" t="str">
            <v xml:space="preserve">           -İzmir Yaprak Tütün İşletme Müdürlüğü</v>
          </cell>
          <cell r="F85" t="str">
            <v xml:space="preserve">                -Tire Y.T. İşletme müdürlüğü</v>
          </cell>
        </row>
        <row r="86">
          <cell r="A86" t="str">
            <v>1.01.00.04.18.13</v>
          </cell>
          <cell r="B86" t="str">
            <v>TEKEL</v>
          </cell>
          <cell r="C86" t="str">
            <v>TEKEL TÜT.MAM.TUZ ALKOL İŞL. A.Ş.</v>
          </cell>
          <cell r="D86" t="str">
            <v xml:space="preserve">       -Yaprak Tütün İşl. ve Ticareti Müessesesi </v>
          </cell>
          <cell r="E86" t="str">
            <v xml:space="preserve">           -İzmir Yaprak Tütün İşletme Müdürlüğü</v>
          </cell>
          <cell r="F86" t="str">
            <v xml:space="preserve">                -Tuzla Y.T. İşletme müdürlüğü</v>
          </cell>
        </row>
        <row r="87">
          <cell r="A87" t="str">
            <v>1.01.00.04.18.14</v>
          </cell>
          <cell r="B87" t="str">
            <v>TEKEL</v>
          </cell>
          <cell r="C87" t="str">
            <v>TEKEL TÜT.MAM.TUZ ALKOL İŞL. A.Ş.</v>
          </cell>
          <cell r="D87" t="str">
            <v xml:space="preserve">       -Yaprak Tütün İşl. ve Ticareti Müessesesi </v>
          </cell>
          <cell r="E87" t="str">
            <v xml:space="preserve">           -İzmir Yaprak Tütün İşletme Müdürlüğü</v>
          </cell>
          <cell r="F87" t="str">
            <v xml:space="preserve">                -Urla Y.T. İşletme müdürlüğü</v>
          </cell>
        </row>
        <row r="88">
          <cell r="A88" t="str">
            <v>1.01.00.04.18.15</v>
          </cell>
          <cell r="B88" t="str">
            <v>TEKEL</v>
          </cell>
          <cell r="C88" t="str">
            <v>TEKEL TÜT.MAM.TUZ ALKOL İŞL. A.Ş.</v>
          </cell>
          <cell r="D88" t="str">
            <v xml:space="preserve">       -Yaprak Tütün İşl. ve Ticareti Müessesesi </v>
          </cell>
          <cell r="E88" t="str">
            <v xml:space="preserve">           -İzmir Yaprak Tütün İşletme Müdürlüğü</v>
          </cell>
          <cell r="F88" t="str">
            <v xml:space="preserve">                -Yazıbaşı Y.T. İşletme müdürlüğü</v>
          </cell>
        </row>
        <row r="89">
          <cell r="A89" t="str">
            <v>1.01.00.04.19.00</v>
          </cell>
          <cell r="B89" t="str">
            <v>TEKEL</v>
          </cell>
          <cell r="C89" t="str">
            <v>TEKEL TÜT.MAM.TUZ ALKOL İŞL. A.Ş.</v>
          </cell>
          <cell r="D89" t="str">
            <v xml:space="preserve">       -Yaprak Tütün İşl. ve Ticareti Müessesesi </v>
          </cell>
          <cell r="E89" t="str">
            <v xml:space="preserve">            -Hendek Yaprak Tütün İşletme Müdürlüğü</v>
          </cell>
          <cell r="F89" t="str">
            <v xml:space="preserve">            -Hendek Yaprak Tütün İşletme Müdürlüğü</v>
          </cell>
        </row>
        <row r="90">
          <cell r="A90" t="str">
            <v>1.01.00.04.20.00</v>
          </cell>
          <cell r="B90" t="str">
            <v>TEKEL</v>
          </cell>
          <cell r="C90" t="str">
            <v>TEKEL TÜT.MAM.TUZ ALKOL İŞL. A.Ş.</v>
          </cell>
          <cell r="D90" t="str">
            <v xml:space="preserve">       -Yaprak Tütün İşl. ve Ticareti Müessesesi </v>
          </cell>
          <cell r="E90" t="str">
            <v xml:space="preserve">            -Malatya Yaprak Tütün İşletme Müdürlüğü</v>
          </cell>
          <cell r="F90" t="str">
            <v xml:space="preserve">            -Malatya Yaprak Tütün İşletme Müdürlüğü</v>
          </cell>
        </row>
        <row r="91">
          <cell r="A91" t="str">
            <v>1.01.00.04.20.01</v>
          </cell>
          <cell r="B91" t="str">
            <v>TEKEL</v>
          </cell>
          <cell r="C91" t="str">
            <v>TEKEL TÜT.MAM.TUZ ALKOL İŞL. A.Ş.</v>
          </cell>
          <cell r="D91" t="str">
            <v xml:space="preserve">       -Yaprak Tütün İşl. ve Ticareti Müessesesi </v>
          </cell>
          <cell r="E91" t="str">
            <v xml:space="preserve">            -Malatya Yaprak Tütün İşletme Müdürlüğü</v>
          </cell>
          <cell r="F91" t="str">
            <v xml:space="preserve">                 -Doğanşehir Y.T. İşletme Müdürlüğü</v>
          </cell>
        </row>
        <row r="92">
          <cell r="A92" t="str">
            <v>1.01.00.04.21.00</v>
          </cell>
          <cell r="B92" t="str">
            <v>TEKEL</v>
          </cell>
          <cell r="C92" t="str">
            <v>TEKEL TÜT.MAM.TUZ ALKOL İŞL. A.Ş.</v>
          </cell>
          <cell r="D92" t="str">
            <v xml:space="preserve">       -Yaprak Tütün İşl. ve Ticareti Müessesesi </v>
          </cell>
          <cell r="E92" t="str">
            <v xml:space="preserve">            -Manisa Yaprak Tütün İşletme Müdürlüğü</v>
          </cell>
          <cell r="F92" t="str">
            <v xml:space="preserve">            -Manisa Yaprak Tütün İşletme Müdürlüğü</v>
          </cell>
        </row>
        <row r="93">
          <cell r="A93" t="str">
            <v>1.01.00.04.21.01</v>
          </cell>
          <cell r="B93" t="str">
            <v>TEKEL</v>
          </cell>
          <cell r="C93" t="str">
            <v>TEKEL TÜT.MAM.TUZ ALKOL İŞL. A.Ş.</v>
          </cell>
          <cell r="D93" t="str">
            <v xml:space="preserve">       -Yaprak Tütün İşl. ve Ticareti Müessesesi </v>
          </cell>
          <cell r="E93" t="str">
            <v xml:space="preserve">            -Manisa Yaprak Tütün İşletme Müdürlüğü</v>
          </cell>
          <cell r="F93" t="str">
            <v xml:space="preserve">                 -Muradiye Y.T. Depoları</v>
          </cell>
        </row>
        <row r="94">
          <cell r="A94" t="str">
            <v>1.01.00.04.21.02</v>
          </cell>
          <cell r="B94" t="str">
            <v>TEKEL</v>
          </cell>
          <cell r="C94" t="str">
            <v>TEKEL TÜT.MAM.TUZ ALKOL İŞL. A.Ş.</v>
          </cell>
          <cell r="D94" t="str">
            <v xml:space="preserve">       -Yaprak Tütün İşl. ve Ticareti Müessesesi </v>
          </cell>
          <cell r="E94" t="str">
            <v xml:space="preserve">            -Manisa Yaprak Tütün İşletme Müdürlüğü</v>
          </cell>
          <cell r="F94" t="str">
            <v xml:space="preserve">                 -Kula Y.T. İşletme müdürlüğü</v>
          </cell>
        </row>
        <row r="95">
          <cell r="A95" t="str">
            <v>1.01.00.04.21.03</v>
          </cell>
          <cell r="B95" t="str">
            <v>TEKEL</v>
          </cell>
          <cell r="C95" t="str">
            <v>TEKEL TÜT.MAM.TUZ ALKOL İŞL. A.Ş.</v>
          </cell>
          <cell r="D95" t="str">
            <v xml:space="preserve">       -Yaprak Tütün İşl. ve Ticareti Müessesesi </v>
          </cell>
          <cell r="E95" t="str">
            <v xml:space="preserve">            -Manisa Yaprak Tütün İşletme Müdürlüğü</v>
          </cell>
          <cell r="F95" t="str">
            <v xml:space="preserve">                 -Salihli Y.T. İşletme müdürlüğü</v>
          </cell>
        </row>
        <row r="96">
          <cell r="A96" t="str">
            <v>1.01.00.04.21.04</v>
          </cell>
          <cell r="B96" t="str">
            <v>TEKEL</v>
          </cell>
          <cell r="C96" t="str">
            <v>TEKEL TÜT.MAM.TUZ ALKOL İŞL. A.Ş.</v>
          </cell>
          <cell r="D96" t="str">
            <v xml:space="preserve">       -Yaprak Tütün İşl. ve Ticareti Müessesesi </v>
          </cell>
          <cell r="E96" t="str">
            <v xml:space="preserve">            -Manisa Yaprak Tütün İşletme Müdürlüğü</v>
          </cell>
          <cell r="F96" t="str">
            <v xml:space="preserve">                 -Sarıgöl Y.T. İşletme Müdürlüğü</v>
          </cell>
        </row>
        <row r="97">
          <cell r="A97" t="str">
            <v>1.01.00.04.21.05</v>
          </cell>
          <cell r="B97" t="str">
            <v>TEKEL</v>
          </cell>
          <cell r="C97" t="str">
            <v>TEKEL TÜT.MAM.TUZ ALKOL İŞL. A.Ş.</v>
          </cell>
          <cell r="D97" t="str">
            <v xml:space="preserve">       -Yaprak Tütün İşl. ve Ticareti Müessesesi </v>
          </cell>
          <cell r="E97" t="str">
            <v xml:space="preserve">            -Manisa Yaprak Tütün İşletme Müdürlüğü</v>
          </cell>
          <cell r="F97" t="str">
            <v xml:space="preserve">                 -Selendi Y.T. İşletme Müdürlüğü</v>
          </cell>
        </row>
        <row r="98">
          <cell r="A98" t="str">
            <v>1.01.00.04.21.06</v>
          </cell>
          <cell r="B98" t="str">
            <v>TEKEL</v>
          </cell>
          <cell r="C98" t="str">
            <v>TEKEL TÜT.MAM.TUZ ALKOL İŞL. A.Ş.</v>
          </cell>
          <cell r="D98" t="str">
            <v xml:space="preserve">       -Yaprak Tütün İşl. ve Ticareti Müessesesi </v>
          </cell>
          <cell r="E98" t="str">
            <v xml:space="preserve">            -Manisa Yaprak Tütün İşletme Müdürlüğü</v>
          </cell>
          <cell r="F98" t="str">
            <v xml:space="preserve">                 -Osmancalı Y.T. İşletme Müdürlüğü</v>
          </cell>
        </row>
        <row r="99">
          <cell r="A99" t="str">
            <v>1.01.00.04.21.07</v>
          </cell>
          <cell r="B99" t="str">
            <v>TEKEL</v>
          </cell>
          <cell r="C99" t="str">
            <v>TEKEL TÜT.MAM.TUZ ALKOL İŞL. A.Ş.</v>
          </cell>
          <cell r="D99" t="str">
            <v xml:space="preserve">       -Yaprak Tütün İşl. ve Ticareti Müessesesi </v>
          </cell>
          <cell r="E99" t="str">
            <v xml:space="preserve">            -Manisa Yaprak Tütün İşletme Müdürlüğü</v>
          </cell>
          <cell r="F99" t="str">
            <v xml:space="preserve">                 -Alaşehir Y.T. İşletme Müdürlüğü</v>
          </cell>
        </row>
        <row r="100">
          <cell r="A100" t="str">
            <v>1.01.00.04.21.08</v>
          </cell>
          <cell r="B100" t="str">
            <v>TEKEL</v>
          </cell>
          <cell r="C100" t="str">
            <v>TEKEL TÜT.MAM.TUZ ALKOL İŞL. A.Ş.</v>
          </cell>
          <cell r="D100" t="str">
            <v xml:space="preserve">       -Yaprak Tütün İşl. ve Ticareti Müessesesi </v>
          </cell>
          <cell r="E100" t="str">
            <v xml:space="preserve">            -Manisa Yaprak Tütün İşletme Müdürlüğü</v>
          </cell>
          <cell r="F100" t="str">
            <v xml:space="preserve">                 -Ahmetli Y.T. İşletme Müdürlüğü</v>
          </cell>
        </row>
        <row r="101">
          <cell r="A101" t="str">
            <v>1.01.00.04.22.00</v>
          </cell>
          <cell r="B101" t="str">
            <v>TEKEL</v>
          </cell>
          <cell r="C101" t="str">
            <v>TEKEL TÜT.MAM.TUZ ALKOL İŞL. A.Ş.</v>
          </cell>
          <cell r="D101" t="str">
            <v xml:space="preserve">       -Yaprak Tütün İşl. ve Ticareti Müessesesi </v>
          </cell>
          <cell r="E101" t="str">
            <v xml:space="preserve">             -Milas Yaprak Tütün İşletme Müdürlüğü</v>
          </cell>
          <cell r="F101" t="str">
            <v xml:space="preserve">             -Milas Yaprak Tütün İşletme Müdürlüğü</v>
          </cell>
        </row>
        <row r="102">
          <cell r="A102" t="str">
            <v>1.01.00.04.22.01</v>
          </cell>
          <cell r="B102" t="str">
            <v>TEKEL</v>
          </cell>
          <cell r="C102" t="str">
            <v>TEKEL TÜT.MAM.TUZ ALKOL İŞL. A.Ş.</v>
          </cell>
          <cell r="D102" t="str">
            <v xml:space="preserve">       -Yaprak Tütün İşl. ve Ticareti Müessesesi </v>
          </cell>
          <cell r="E102" t="str">
            <v xml:space="preserve">             -Milas Yaprak Tütün İşletme Müdürlüğü</v>
          </cell>
          <cell r="F102" t="str">
            <v xml:space="preserve">                 -Yatağan Y.T. İşletme Müdürlüğü</v>
          </cell>
        </row>
        <row r="103">
          <cell r="A103" t="str">
            <v>1.01.00.04.23.00</v>
          </cell>
          <cell r="B103" t="str">
            <v>TEKEL</v>
          </cell>
          <cell r="C103" t="str">
            <v>TEKEL TÜT.MAM.TUZ ALKOL İŞL. A.Ş.</v>
          </cell>
          <cell r="D103" t="str">
            <v xml:space="preserve">       -Yaprak Tütün İşl. ve Ticareti Müessesesi </v>
          </cell>
          <cell r="E103" t="str">
            <v xml:space="preserve">             -Muğla Yaprak Tütün İşletme Müdürlüğü</v>
          </cell>
          <cell r="F103" t="str">
            <v xml:space="preserve">             -Muğla Yaprak Tütün İşletme Müdürlüğü</v>
          </cell>
        </row>
        <row r="104">
          <cell r="A104" t="str">
            <v>1.01.00.04.23.01</v>
          </cell>
          <cell r="B104" t="str">
            <v>TEKEL</v>
          </cell>
          <cell r="C104" t="str">
            <v>TEKEL TÜT.MAM.TUZ ALKOL İŞL. A.Ş.</v>
          </cell>
          <cell r="D104" t="str">
            <v xml:space="preserve">       -Yaprak Tütün İşl. ve Ticareti Müessesesi </v>
          </cell>
          <cell r="E104" t="str">
            <v xml:space="preserve">             -Muğla Yaprak Tütün İşletme Müdürlüğü</v>
          </cell>
          <cell r="F104" t="str">
            <v xml:space="preserve">                  -Fethiye Y.T. İşletme Müdürlüğü</v>
          </cell>
        </row>
        <row r="105">
          <cell r="A105" t="str">
            <v>1.01.00.04.24.00</v>
          </cell>
          <cell r="B105" t="str">
            <v>TEKEL</v>
          </cell>
          <cell r="C105" t="str">
            <v>TEKEL TÜT.MAM.TUZ ALKOL İŞL. A.Ş.</v>
          </cell>
          <cell r="D105" t="str">
            <v xml:space="preserve">       -Yaprak Tütün İşl. ve Ticareti Müessesesi </v>
          </cell>
          <cell r="E105" t="str">
            <v xml:space="preserve">             -Muş Yaprak Tütün İşletme Müdürlüğü</v>
          </cell>
          <cell r="F105" t="str">
            <v xml:space="preserve">             -Muş Yaprak Tütün İşletme Müdürlüğü</v>
          </cell>
        </row>
        <row r="106">
          <cell r="A106" t="str">
            <v>1.01.00.04.25.00</v>
          </cell>
          <cell r="B106" t="str">
            <v>TEKEL</v>
          </cell>
          <cell r="C106" t="str">
            <v>TEKEL TÜT.MAM.TUZ ALKOL İŞL. A.Ş.</v>
          </cell>
          <cell r="D106" t="str">
            <v xml:space="preserve">       -Yaprak Tütün İşl. ve Ticareti Müessesesi </v>
          </cell>
          <cell r="E106" t="str">
            <v xml:space="preserve">             -Samsun Yaprak Tütün İşletme Müdürlüğü</v>
          </cell>
          <cell r="F106" t="str">
            <v xml:space="preserve">             -Samsun Yaprak Tütün İşletme Müdürlüğü</v>
          </cell>
        </row>
        <row r="107">
          <cell r="A107" t="str">
            <v>1.01.00.04.25.01</v>
          </cell>
          <cell r="B107" t="str">
            <v>TEKEL</v>
          </cell>
          <cell r="C107" t="str">
            <v>TEKEL TÜT.MAM.TUZ ALKOL İŞL. A.Ş.</v>
          </cell>
          <cell r="D107" t="str">
            <v xml:space="preserve">       -Yaprak Tütün İşl. ve Ticareti Müessesesi </v>
          </cell>
          <cell r="E107" t="str">
            <v xml:space="preserve">             -Samsun Yaprak Tütün İşletme Müdürlüğü</v>
          </cell>
          <cell r="F107" t="str">
            <v xml:space="preserve">                  -Ahullu Bakım Atölyesi</v>
          </cell>
        </row>
        <row r="108">
          <cell r="A108" t="str">
            <v>1.01.00.04.25.02</v>
          </cell>
          <cell r="B108" t="str">
            <v>TEKEL</v>
          </cell>
          <cell r="C108" t="str">
            <v>TEKEL TÜT.MAM.TUZ ALKOL İŞL. A.Ş.</v>
          </cell>
          <cell r="D108" t="str">
            <v xml:space="preserve">       -Yaprak Tütün İşl. ve Ticareti Müessesesi </v>
          </cell>
          <cell r="E108" t="str">
            <v xml:space="preserve">             -Samsun Yaprak Tütün İşletme Müdürlüğü</v>
          </cell>
          <cell r="F108" t="str">
            <v xml:space="preserve">                  -19 Mayıs Y.T. İşletme Müdürlüğü</v>
          </cell>
        </row>
        <row r="109">
          <cell r="A109" t="str">
            <v>1.01.00.04.25.03</v>
          </cell>
          <cell r="B109" t="str">
            <v>TEKEL</v>
          </cell>
          <cell r="C109" t="str">
            <v>TEKEL TÜT.MAM.TUZ ALKOL İŞL. A.Ş.</v>
          </cell>
          <cell r="D109" t="str">
            <v xml:space="preserve">       -Yaprak Tütün İşl. ve Ticareti Müessesesi </v>
          </cell>
          <cell r="E109" t="str">
            <v xml:space="preserve">             -Samsun Yaprak Tütün İşletme Müdürlüğü</v>
          </cell>
          <cell r="F109" t="str">
            <v xml:space="preserve">                  -Havza Y.T. İşletme Müdürlüğü</v>
          </cell>
        </row>
        <row r="110">
          <cell r="A110" t="str">
            <v>1.01.00.04.25.04</v>
          </cell>
          <cell r="B110" t="str">
            <v>TEKEL</v>
          </cell>
          <cell r="C110" t="str">
            <v>TEKEL TÜT.MAM.TUZ ALKOL İŞL. A.Ş.</v>
          </cell>
          <cell r="D110" t="str">
            <v xml:space="preserve">       -Yaprak Tütün İşl. ve Ticareti Müessesesi </v>
          </cell>
          <cell r="E110" t="str">
            <v xml:space="preserve">             -Samsun Yaprak Tütün İşletme Müdürlüğü</v>
          </cell>
          <cell r="F110" t="str">
            <v xml:space="preserve">                  -Vezirköprü Y.T. İşletme Müdürlüğü</v>
          </cell>
        </row>
        <row r="111">
          <cell r="A111" t="str">
            <v>1.01.00.04.25.05</v>
          </cell>
          <cell r="B111" t="str">
            <v>TEKEL</v>
          </cell>
          <cell r="C111" t="str">
            <v>TEKEL TÜT.MAM.TUZ ALKOL İŞL. A.Ş.</v>
          </cell>
          <cell r="D111" t="str">
            <v xml:space="preserve">       -Yaprak Tütün İşl. ve Ticareti Müessesesi </v>
          </cell>
          <cell r="E111" t="str">
            <v xml:space="preserve">             -Samsun Yaprak Tütün İşletme Müdürlüğü</v>
          </cell>
          <cell r="F111" t="str">
            <v xml:space="preserve">                  -Tekkeköy Y.T. İşletme Müdürlüğü</v>
          </cell>
        </row>
        <row r="112">
          <cell r="A112" t="str">
            <v>1.01.00.04.25.06</v>
          </cell>
          <cell r="B112" t="str">
            <v>TEKEL</v>
          </cell>
          <cell r="C112" t="str">
            <v>TEKEL TÜT.MAM.TUZ ALKOL İŞL. A.Ş.</v>
          </cell>
          <cell r="D112" t="str">
            <v xml:space="preserve">       -Yaprak Tütün İşl. ve Ticareti Müessesesi </v>
          </cell>
          <cell r="E112" t="str">
            <v xml:space="preserve">             -Samsun Yaprak Tütün İşletme Müdürlüğü</v>
          </cell>
          <cell r="F112" t="str">
            <v xml:space="preserve">                  -Tokat Yaprak Tütün İşletme Müdürlüğü</v>
          </cell>
        </row>
        <row r="113">
          <cell r="A113" t="str">
            <v>1.01.00.04.25.07</v>
          </cell>
          <cell r="B113" t="str">
            <v>TEKEL</v>
          </cell>
          <cell r="C113" t="str">
            <v>TEKEL TÜT.MAM.TUZ ALKOL İŞL. A.Ş.</v>
          </cell>
          <cell r="D113" t="str">
            <v xml:space="preserve">       -Yaprak Tütün İşl. ve Ticareti Müessesesi </v>
          </cell>
          <cell r="E113" t="str">
            <v xml:space="preserve">             -Samsun Yaprak Tütün İşletme Müdürlüğü</v>
          </cell>
          <cell r="F113" t="str">
            <v xml:space="preserve">                  -Erbaa  Y.T. İşletme Müdürlüğü</v>
          </cell>
        </row>
        <row r="114">
          <cell r="A114" t="str">
            <v>1.01.00.04.25.08</v>
          </cell>
          <cell r="B114" t="str">
            <v>TEKEL</v>
          </cell>
          <cell r="C114" t="str">
            <v>TEKEL TÜT.MAM.TUZ ALKOL İŞL. A.Ş.</v>
          </cell>
          <cell r="D114" t="str">
            <v xml:space="preserve">       -Yaprak Tütün İşl. ve Ticareti Müessesesi </v>
          </cell>
          <cell r="E114" t="str">
            <v xml:space="preserve">             -Samsun Yaprak Tütün İşletme Müdürlüğü</v>
          </cell>
          <cell r="F114" t="str">
            <v xml:space="preserve">                  -Gümüşhacıköy Y.T. İşletme Müdürlüğü</v>
          </cell>
        </row>
        <row r="115">
          <cell r="A115" t="str">
            <v>1.01.00.04.25.09</v>
          </cell>
          <cell r="B115" t="str">
            <v>TEKEL</v>
          </cell>
          <cell r="C115" t="str">
            <v>TEKEL TÜT.MAM.TUZ ALKOL İŞL. A.Ş.</v>
          </cell>
          <cell r="D115" t="str">
            <v xml:space="preserve">       -Yaprak Tütün İşl. ve Ticareti Müessesesi </v>
          </cell>
          <cell r="E115" t="str">
            <v xml:space="preserve">             -Samsun Yaprak Tütün İşletme Müdürlüğü</v>
          </cell>
          <cell r="F115" t="str">
            <v xml:space="preserve">                  -Niksar Y.T. İşletme Müdürlüğü</v>
          </cell>
        </row>
        <row r="116">
          <cell r="A116" t="str">
            <v>1.01.00.04.25.10</v>
          </cell>
          <cell r="B116" t="str">
            <v>TEKEL</v>
          </cell>
          <cell r="C116" t="str">
            <v>TEKEL TÜT.MAM.TUZ ALKOL İŞL. A.Ş.</v>
          </cell>
          <cell r="D116" t="str">
            <v xml:space="preserve">       -Yaprak Tütün İşl. ve Ticareti Müessesesi </v>
          </cell>
          <cell r="E116" t="str">
            <v xml:space="preserve">             -Samsun Yaprak Tütün İşletme Müdürlüğü</v>
          </cell>
          <cell r="F116" t="str">
            <v xml:space="preserve">                  -Merzifon Y.T. İşletme Müdürlüğü</v>
          </cell>
        </row>
        <row r="117">
          <cell r="A117" t="str">
            <v>1.01.00.04.25.11</v>
          </cell>
          <cell r="B117" t="str">
            <v>TEKEL</v>
          </cell>
          <cell r="C117" t="str">
            <v>TEKEL TÜT.MAM.TUZ ALKOL İŞL. A.Ş.</v>
          </cell>
          <cell r="D117" t="str">
            <v xml:space="preserve">       -Yaprak Tütün İşl. ve Ticareti Müessesesi </v>
          </cell>
          <cell r="E117" t="str">
            <v xml:space="preserve">             -Samsun Yaprak Tütün İşletme Müdürlüğü</v>
          </cell>
          <cell r="F117" t="str">
            <v xml:space="preserve">                  -Taşova Y.T. İşletme Müdürlüğü</v>
          </cell>
        </row>
        <row r="118">
          <cell r="A118" t="str">
            <v>1.01.00.04.25.12</v>
          </cell>
          <cell r="B118" t="str">
            <v>TEKEL</v>
          </cell>
          <cell r="C118" t="str">
            <v>TEKEL TÜT.MAM.TUZ ALKOL İŞL. A.Ş.</v>
          </cell>
          <cell r="D118" t="str">
            <v xml:space="preserve">       -Yaprak Tütün İşl. ve Ticareti Müessesesi </v>
          </cell>
          <cell r="E118" t="str">
            <v xml:space="preserve">             -Samsun Yaprak Tütün İşletme Müdürlüğü</v>
          </cell>
          <cell r="F118" t="str">
            <v xml:space="preserve">                  -Çarşamba Bakım Atölyesi</v>
          </cell>
        </row>
        <row r="119">
          <cell r="A119" t="str">
            <v>1.01.00.04.26.00</v>
          </cell>
          <cell r="B119" t="str">
            <v>TEKEL</v>
          </cell>
          <cell r="C119" t="str">
            <v>TEKEL TÜT.MAM.TUZ ALKOL İŞL. A.Ş.</v>
          </cell>
          <cell r="D119" t="str">
            <v xml:space="preserve">       -Yaprak Tütün İşl. ve Ticareti Müessesesi </v>
          </cell>
          <cell r="E119" t="str">
            <v xml:space="preserve">             -Trabzon Yaprak Tütün İşletme Müdürlüğü</v>
          </cell>
          <cell r="F119" t="str">
            <v xml:space="preserve">             -Trabzon Yaprak Tütün İşletme Müdürlüğü</v>
          </cell>
        </row>
        <row r="120">
          <cell r="A120" t="str">
            <v>1.01.00.04.27.00</v>
          </cell>
          <cell r="B120" t="str">
            <v>TEKEL</v>
          </cell>
          <cell r="C120" t="str">
            <v>TEKEL TÜT.MAM.TUZ ALKOL İŞL. A.Ş.</v>
          </cell>
          <cell r="D120" t="str">
            <v xml:space="preserve">       -Yaprak Tütün İşl. ve Ticareti Müessesesi </v>
          </cell>
          <cell r="E120" t="str">
            <v xml:space="preserve">             -Eşme Yaprak Tütün İşletme Müdürlüğü</v>
          </cell>
          <cell r="F120" t="str">
            <v xml:space="preserve">             -Eşme Yaprak Tütün İşletme Müdürlüğü</v>
          </cell>
        </row>
        <row r="121">
          <cell r="A121" t="str">
            <v>1.01.00.04.27.01</v>
          </cell>
          <cell r="B121" t="str">
            <v>TEKEL</v>
          </cell>
          <cell r="C121" t="str">
            <v>TEKEL TÜT.MAM.TUZ ALKOL İŞL. A.Ş.</v>
          </cell>
          <cell r="D121" t="str">
            <v xml:space="preserve">       -Yaprak Tütün İşl. ve Ticareti Müessesesi </v>
          </cell>
          <cell r="E121" t="str">
            <v xml:space="preserve">             -Eşme Yaprak Tütün İşletme Müdürlüğü</v>
          </cell>
          <cell r="F121" t="str">
            <v xml:space="preserve">                  -Ulubey Y.T. İşletme Müdürlüğü</v>
          </cell>
        </row>
        <row r="122">
          <cell r="A122" t="str">
            <v>1.01.00.04.27.02</v>
          </cell>
          <cell r="B122" t="str">
            <v>TEKEL</v>
          </cell>
          <cell r="C122" t="str">
            <v>TEKEL TÜT.MAM.TUZ ALKOL İŞL. A.Ş.</v>
          </cell>
          <cell r="D122" t="str">
            <v xml:space="preserve">       -Yaprak Tütün İşl. ve Ticareti Müessesesi </v>
          </cell>
          <cell r="E122" t="str">
            <v xml:space="preserve">             -Eşme Yaprak Tütün İşletme Müdürlüğü</v>
          </cell>
          <cell r="F122" t="str">
            <v xml:space="preserve">                  -Karahallı Y.T. İşletme Müdürlüğü</v>
          </cell>
        </row>
        <row r="123">
          <cell r="A123" t="str">
            <v>1.01.00.04.28.00</v>
          </cell>
          <cell r="B123" t="str">
            <v>TEKEL</v>
          </cell>
          <cell r="C123" t="str">
            <v>TEKEL TÜT.MAM.TUZ ALKOL İŞL. A.Ş.</v>
          </cell>
          <cell r="D123" t="str">
            <v xml:space="preserve">       -Yaprak Tütün İşl. ve Ticareti Müessesesi </v>
          </cell>
          <cell r="E123" t="str">
            <v xml:space="preserve">             -Sinop Yaprak Tütün İşletme Müdürlüğü</v>
          </cell>
          <cell r="F123" t="str">
            <v xml:space="preserve">             -Sinop Yaprak Tütün İşletme Müdürlüğü</v>
          </cell>
        </row>
        <row r="124">
          <cell r="A124" t="str">
            <v>1.01.00.04.28.01</v>
          </cell>
          <cell r="B124" t="str">
            <v>TEKEL</v>
          </cell>
          <cell r="C124" t="str">
            <v>TEKEL TÜT.MAM.TUZ ALKOL İŞL. A.Ş.</v>
          </cell>
          <cell r="D124" t="str">
            <v xml:space="preserve">       -Yaprak Tütün İşl. ve Ticareti Müessesesi </v>
          </cell>
          <cell r="E124" t="str">
            <v xml:space="preserve">             -Sinop Yaprak Tütün İşletme Müdürlüğü</v>
          </cell>
          <cell r="F124" t="str">
            <v xml:space="preserve">                  -Gerze Y.T. İşletme Müdürlüğü</v>
          </cell>
        </row>
        <row r="125">
          <cell r="A125" t="str">
            <v>1.01.00.04.29.00</v>
          </cell>
          <cell r="B125" t="str">
            <v>TEKEL</v>
          </cell>
          <cell r="C125" t="str">
            <v>TEKEL TÜT.MAM.TUZ ALKOL İŞL. A.Ş.</v>
          </cell>
          <cell r="D125" t="str">
            <v xml:space="preserve">       -Yaprak Tütün İşl. ve Ticareti Müessesesi </v>
          </cell>
          <cell r="E125" t="str">
            <v xml:space="preserve">             -Kocaeli Yaprak Tütün İşletme Müdürlüğü</v>
          </cell>
          <cell r="F125" t="str">
            <v xml:space="preserve">             -Kocaeli Yaprak Tütün İşletme Müdürlüğü</v>
          </cell>
        </row>
        <row r="126">
          <cell r="A126" t="str">
            <v>1.01.00.04.29.01</v>
          </cell>
          <cell r="B126" t="str">
            <v>TEKEL</v>
          </cell>
          <cell r="C126" t="str">
            <v>TEKEL TÜT.MAM.TUZ ALKOL İŞL. A.Ş.</v>
          </cell>
          <cell r="D126" t="str">
            <v xml:space="preserve">       -Yaprak Tütün İşl. ve Ticareti Müessesesi </v>
          </cell>
          <cell r="E126" t="str">
            <v xml:space="preserve">             -Kocaeli Yaprak Tütün İşletme Müdürlüğü</v>
          </cell>
          <cell r="F126" t="str">
            <v xml:space="preserve">                  -Geyve Y.T.İşletme Müdürlüğü</v>
          </cell>
        </row>
        <row r="127">
          <cell r="A127" t="str">
            <v>1.01.00.04.30.00</v>
          </cell>
          <cell r="B127" t="str">
            <v>TEKEL</v>
          </cell>
          <cell r="C127" t="str">
            <v>TEKEL TÜT.MAM.TUZ ALKOL İŞL. A.Ş.</v>
          </cell>
          <cell r="D127" t="str">
            <v xml:space="preserve">       -Yaprak Tütün İşl. ve Ticareti Müessesesi </v>
          </cell>
          <cell r="E127" t="str">
            <v xml:space="preserve">          -Bucak Yaprak Tütün İşletme Müdürlüğü</v>
          </cell>
          <cell r="F127" t="str">
            <v xml:space="preserve">          -Bucak Yaprak Tütün İşletme Müdürlüğü</v>
          </cell>
        </row>
        <row r="128">
          <cell r="A128" t="str">
            <v>1.01.00.04.31.00</v>
          </cell>
          <cell r="B128" t="str">
            <v>TEKEL</v>
          </cell>
          <cell r="C128" t="str">
            <v>TEKEL TÜT.MAM.TUZ ALKOL İŞL. A.Ş.</v>
          </cell>
          <cell r="D128" t="str">
            <v xml:space="preserve">       -Yaprak Tütün İşl. ve Ticareti Müessesesi </v>
          </cell>
          <cell r="E128" t="str">
            <v xml:space="preserve">             -Akçaabat Yaprak Tütün İşletme Müdürlüğü</v>
          </cell>
          <cell r="F128" t="str">
            <v xml:space="preserve">             -Akçaabat Yaprak Tütün İşletme Müdürlüğü</v>
          </cell>
        </row>
        <row r="129">
          <cell r="A129" t="str">
            <v>1.01.00.04.31.01</v>
          </cell>
          <cell r="B129" t="str">
            <v>TEKEL</v>
          </cell>
          <cell r="C129" t="str">
            <v>TEKEL TÜT.MAM.TUZ ALKOL İŞL. A.Ş.</v>
          </cell>
          <cell r="D129" t="str">
            <v xml:space="preserve">       -Yaprak Tütün İşl. ve Ticareti Müessesesi </v>
          </cell>
          <cell r="E129" t="str">
            <v xml:space="preserve">             -Akçaabat Yaprak Tütün İşletme Müdürlüğü</v>
          </cell>
          <cell r="F129" t="str">
            <v xml:space="preserve">                   -Şebinkarahisar Y.T. İşletme Müdürlüğü</v>
          </cell>
        </row>
        <row r="130">
          <cell r="A130" t="str">
            <v>1.01.00.04.32.00</v>
          </cell>
          <cell r="B130" t="str">
            <v>TEKEL</v>
          </cell>
          <cell r="C130" t="str">
            <v>TEKEL TÜT.MAM.TUZ ALKOL İŞL. A.Ş.</v>
          </cell>
          <cell r="D130" t="str">
            <v xml:space="preserve">       -Yaprak Tütün İşl. ve Ticareti Müessesesi </v>
          </cell>
          <cell r="E130" t="str">
            <v xml:space="preserve">             -Saruhanlı Yaprak Tütün İşletme Müdürlüğü</v>
          </cell>
          <cell r="F130" t="str">
            <v xml:space="preserve">             -Saruhanlı Yaprak Tütün İşletme Müdürlüğü</v>
          </cell>
        </row>
        <row r="131">
          <cell r="A131" t="str">
            <v>1.01.00.04.33.00</v>
          </cell>
          <cell r="B131" t="str">
            <v>TEKEL</v>
          </cell>
          <cell r="C131" t="str">
            <v>TEKEL TÜT.MAM.TUZ ALKOL İŞL. A.Ş.</v>
          </cell>
          <cell r="D131" t="str">
            <v xml:space="preserve">       -Yaprak Tütün İşl. ve Ticareti Müessesesi </v>
          </cell>
          <cell r="E131" t="str">
            <v xml:space="preserve">             -Taşköprü Jüp İpliği Fabrikası Müdürlüğü</v>
          </cell>
          <cell r="F131" t="str">
            <v xml:space="preserve">             -Taşköprü Jüp İpliği Fabrikası Müdürlüğü</v>
          </cell>
        </row>
        <row r="132">
          <cell r="A132" t="str">
            <v>1.01.00.04.34.00</v>
          </cell>
          <cell r="B132" t="str">
            <v>TEKEL</v>
          </cell>
          <cell r="C132" t="str">
            <v>TEKEL TÜT.MAM.TUZ ALKOL İŞL. A.Ş.</v>
          </cell>
          <cell r="D132" t="str">
            <v xml:space="preserve">       -Yaprak Tütün İşl. ve Ticareti Müessesesi </v>
          </cell>
          <cell r="E132" t="str">
            <v xml:space="preserve">             -Sivaslı Yaprak Tütün İşletme Müdürlüğü</v>
          </cell>
          <cell r="F132" t="str">
            <v xml:space="preserve">             -Sivaslı Yaprak Tütün İşletme Müdürlüğü</v>
          </cell>
        </row>
        <row r="133">
          <cell r="A133" t="str">
            <v>1.01.00.04.35.00</v>
          </cell>
          <cell r="B133" t="str">
            <v>TEKEL</v>
          </cell>
          <cell r="C133" t="str">
            <v>TEKEL TÜT.MAM.TUZ ALKOL İŞL. A.Ş.</v>
          </cell>
          <cell r="D133" t="str">
            <v xml:space="preserve">       -Yaprak Tütün İşl. ve Ticareti Müessesesi </v>
          </cell>
          <cell r="E133" t="str">
            <v xml:space="preserve">             -Cumaovası Yaprak Tütün İşletme Müdürlüğü</v>
          </cell>
          <cell r="F133" t="str">
            <v xml:space="preserve">             -Cumaovası Yaprak Tütün İşletme Müdürlüğü</v>
          </cell>
        </row>
        <row r="134">
          <cell r="A134" t="str">
            <v>1.01.01.00.00.00</v>
          </cell>
          <cell r="B134" t="str">
            <v>TEKEL</v>
          </cell>
          <cell r="C134" t="str">
            <v>SİGARA SAN.İŞL. VE TİC.A.Ş.</v>
          </cell>
          <cell r="D134" t="str">
            <v xml:space="preserve">       -Sigara Sanayii İşletmeleri Müessesesi</v>
          </cell>
          <cell r="E134" t="str">
            <v xml:space="preserve">       -Sigara Sanayii İşletmeleri Müessesesi</v>
          </cell>
          <cell r="F134" t="str">
            <v xml:space="preserve">       -Sigara Sanayii İşletmeleri Müessesesi</v>
          </cell>
        </row>
        <row r="135">
          <cell r="A135" t="str">
            <v>1.01.01.00.00.01</v>
          </cell>
          <cell r="B135" t="str">
            <v>TEKEL</v>
          </cell>
          <cell r="C135" t="str">
            <v>SİGARA SAN.İŞL. VE TİC.A.Ş.</v>
          </cell>
          <cell r="D135" t="str">
            <v xml:space="preserve">       -Sigara Sanayii İşletmeleri Müessesesi</v>
          </cell>
          <cell r="E135" t="str">
            <v xml:space="preserve">            -Adana Sigara Fabrikası Müdürlüğü</v>
          </cell>
          <cell r="F135" t="str">
            <v xml:space="preserve">            -Adana Sigara Fabrikası Müdürlüğü</v>
          </cell>
        </row>
        <row r="136">
          <cell r="A136" t="str">
            <v>1.01.01.00.00.13</v>
          </cell>
          <cell r="B136" t="str">
            <v>TEKEL</v>
          </cell>
          <cell r="C136" t="str">
            <v>SİGARA SAN.İŞL. VE TİC.A.Ş.</v>
          </cell>
          <cell r="D136" t="str">
            <v xml:space="preserve">       -Sigara Sanayii İşletmeleri Müessesesi</v>
          </cell>
          <cell r="E136" t="str">
            <v xml:space="preserve">            -Bitlis Sigara Fabrikası Müdürlüğü</v>
          </cell>
          <cell r="F136" t="str">
            <v xml:space="preserve">            -Bitlis Sigara Fabrikası Müdürlüğü</v>
          </cell>
        </row>
        <row r="137">
          <cell r="A137" t="str">
            <v>1.01.01.00.00.34</v>
          </cell>
          <cell r="B137" t="str">
            <v>TEKEL</v>
          </cell>
          <cell r="C137" t="str">
            <v>SİGARA SAN.İŞL. VE TİC.A.Ş.</v>
          </cell>
          <cell r="D137" t="str">
            <v xml:space="preserve">       -Sigara Sanayii İşletmeleri Müessesesi</v>
          </cell>
          <cell r="E137" t="str">
            <v xml:space="preserve">            -İstanbul Sigara Fabrikası Müdürlüğü</v>
          </cell>
          <cell r="F137" t="str">
            <v xml:space="preserve">            -İstanbul Sigara Fabrikası Müdürlüğü</v>
          </cell>
        </row>
        <row r="138">
          <cell r="A138" t="str">
            <v>1.01.01.00.00.44</v>
          </cell>
          <cell r="B138" t="str">
            <v>TEKEL</v>
          </cell>
          <cell r="C138" t="str">
            <v>SİGARA SAN.İŞL. VE TİC.A.Ş.</v>
          </cell>
          <cell r="D138" t="str">
            <v xml:space="preserve">       -Sigara Sanayii İşletmeleri Müessesesi</v>
          </cell>
          <cell r="E138" t="str">
            <v xml:space="preserve">            -Malatya Sigara Fabrikası Müdürlüğü</v>
          </cell>
          <cell r="F138" t="str">
            <v xml:space="preserve">            -Malatya Sigara Fabrikası Müdürlüğü</v>
          </cell>
        </row>
        <row r="139">
          <cell r="A139" t="str">
            <v>1.01.01.00.00.55</v>
          </cell>
          <cell r="B139" t="str">
            <v>TEKEL</v>
          </cell>
          <cell r="C139" t="str">
            <v>SİGARA SAN.İŞL. VE TİC.A.Ş.</v>
          </cell>
          <cell r="D139" t="str">
            <v xml:space="preserve">       -Sigara Sanayii İşletmeleri Müessesesi</v>
          </cell>
          <cell r="E139" t="str">
            <v xml:space="preserve">            -Samsun- Ballıca Sigara Fabrikası Müdürlüğü</v>
          </cell>
          <cell r="F139" t="str">
            <v xml:space="preserve">            -Samsun- Ballıca Sigara Fabrikası Müdürlüğü</v>
          </cell>
        </row>
        <row r="140">
          <cell r="A140" t="str">
            <v>1.01.01.00.00.60</v>
          </cell>
          <cell r="B140" t="str">
            <v>TEKEL</v>
          </cell>
          <cell r="C140" t="str">
            <v>SİGARA SAN.İŞL. VE TİC.A.Ş.</v>
          </cell>
          <cell r="D140" t="str">
            <v xml:space="preserve">       -Sigara Sanayii İşletmeleri Müessesesi</v>
          </cell>
          <cell r="E140" t="str">
            <v xml:space="preserve">            -Tokat Sigara Fabrikası Müdürlüğü</v>
          </cell>
          <cell r="F140" t="str">
            <v xml:space="preserve">            -Tokat Sigara Fabrikası Müdürlüğü</v>
          </cell>
        </row>
        <row r="141">
          <cell r="A141" t="str">
            <v>1.01.02.00.00.00</v>
          </cell>
          <cell r="B141" t="str">
            <v>TEKEL</v>
          </cell>
          <cell r="C141" t="str">
            <v>SİGARA PAZ.VE DAĞ. A.Ş.</v>
          </cell>
          <cell r="D141" t="str">
            <v xml:space="preserve">       -Pazarlama ve Dağıtım Müessesesi </v>
          </cell>
          <cell r="E141" t="str">
            <v xml:space="preserve">       -Pazarlama ve Dağıtım Müessesesi </v>
          </cell>
          <cell r="F141" t="str">
            <v xml:space="preserve">       -Pazarlama ve Dağıtım Müessesesi </v>
          </cell>
        </row>
        <row r="142">
          <cell r="A142" t="str">
            <v>1.01.02.00.01.00</v>
          </cell>
          <cell r="B142" t="str">
            <v>TEKEL</v>
          </cell>
          <cell r="C142" t="str">
            <v>SİGARA PAZ.VE DAĞ. A.Ş.</v>
          </cell>
          <cell r="D142" t="str">
            <v xml:space="preserve">       -Pazarlama ve Dağıtım Müessesesi </v>
          </cell>
          <cell r="E142" t="str">
            <v xml:space="preserve">           -Adana Pazarlama ve Dağıtım Başmüdürlüğü</v>
          </cell>
          <cell r="F142" t="str">
            <v xml:space="preserve">           -Adana Pazarlama ve Dağıtım Başmüdürlüğü</v>
          </cell>
        </row>
        <row r="143">
          <cell r="A143" t="str">
            <v>1.01.02.00.02.00</v>
          </cell>
          <cell r="B143" t="str">
            <v>TEKEL</v>
          </cell>
          <cell r="C143" t="str">
            <v>SİGARA PAZ.VE DAĞ. A.Ş.</v>
          </cell>
          <cell r="D143" t="str">
            <v xml:space="preserve">       -Pazarlama ve Dağıtım Müessesesi </v>
          </cell>
          <cell r="E143" t="str">
            <v xml:space="preserve">           -Adıyaman Pazarlama ve Dağıtım Başmüdürlüğü</v>
          </cell>
          <cell r="F143" t="str">
            <v xml:space="preserve">           -Adıyaman Pazarlama ve Dağıtım Başmüdürlüğü</v>
          </cell>
        </row>
        <row r="144">
          <cell r="A144" t="str">
            <v>1.01.02.00.03.00</v>
          </cell>
          <cell r="B144" t="str">
            <v>TEKEL</v>
          </cell>
          <cell r="C144" t="str">
            <v>SİGARA PAZ.VE DAĞ. A.Ş.</v>
          </cell>
          <cell r="D144" t="str">
            <v xml:space="preserve">       -Pazarlama ve Dağıtım Müessesesi </v>
          </cell>
          <cell r="E144" t="str">
            <v xml:space="preserve">           -Afyon Pazarlama ve Dağıtım Başmüdürlüğü</v>
          </cell>
          <cell r="F144" t="str">
            <v xml:space="preserve">           -Afyon Pazarlama ve Dağıtım Başmüdürlüğü</v>
          </cell>
        </row>
        <row r="145">
          <cell r="A145" t="str">
            <v>1.01.02.00.04.00</v>
          </cell>
          <cell r="B145" t="str">
            <v>TEKEL</v>
          </cell>
          <cell r="C145" t="str">
            <v>SİGARA PAZ.VE DAĞ. A.Ş.</v>
          </cell>
          <cell r="D145" t="str">
            <v xml:space="preserve">       -Pazarlama ve Dağıtım Müessesesi </v>
          </cell>
          <cell r="E145" t="str">
            <v xml:space="preserve">          - Ağrı Pazarlama ve Dağıtım Başmüdürlüğü</v>
          </cell>
          <cell r="F145" t="str">
            <v xml:space="preserve">          - Ağrı Pazarlama ve Dağıtım Başmüdürlüğü</v>
          </cell>
        </row>
        <row r="146">
          <cell r="A146" t="str">
            <v>1.01.02.00.05.00</v>
          </cell>
          <cell r="B146" t="str">
            <v>TEKEL</v>
          </cell>
          <cell r="C146" t="str">
            <v>SİGARA PAZ.VE DAĞ. A.Ş.</v>
          </cell>
          <cell r="D146" t="str">
            <v xml:space="preserve">       -Pazarlama ve Dağıtım Müessesesi </v>
          </cell>
          <cell r="E146" t="str">
            <v xml:space="preserve">           -Amasya Pazarlama ve Dağıtım Başmüdürlüğü</v>
          </cell>
          <cell r="F146" t="str">
            <v xml:space="preserve">           -Amasya Pazarlama ve Dağıtım Başmüdürlüğü</v>
          </cell>
        </row>
        <row r="147">
          <cell r="A147" t="str">
            <v>1.01.02.00.06.00</v>
          </cell>
          <cell r="B147" t="str">
            <v>TEKEL</v>
          </cell>
          <cell r="C147" t="str">
            <v>SİGARA PAZ.VE DAĞ. A.Ş.</v>
          </cell>
          <cell r="D147" t="str">
            <v xml:space="preserve">       -Pazarlama ve Dağıtım Müessesesi </v>
          </cell>
          <cell r="E147" t="str">
            <v xml:space="preserve">           -Ankara Pazarlama ve Dağıtım Başmüdürlüğü</v>
          </cell>
          <cell r="F147" t="str">
            <v xml:space="preserve">           -Ankara Pazarlama ve Dağıtım Başmüdürlüğü</v>
          </cell>
        </row>
        <row r="148">
          <cell r="A148" t="str">
            <v>1.01.02.00.07.00</v>
          </cell>
          <cell r="B148" t="str">
            <v>TEKEL</v>
          </cell>
          <cell r="C148" t="str">
            <v>SİGARA PAZ.VE DAĞ. A.Ş.</v>
          </cell>
          <cell r="D148" t="str">
            <v xml:space="preserve">       -Pazarlama ve Dağıtım Müessesesi </v>
          </cell>
          <cell r="E148" t="str">
            <v xml:space="preserve">           -Antalya Pazarlama ve Dağıtım Başmüdürlüğü</v>
          </cell>
          <cell r="F148" t="str">
            <v xml:space="preserve">           -Antalya Pazarlama ve Dağıtım Başmüdürlüğü</v>
          </cell>
        </row>
        <row r="149">
          <cell r="A149" t="str">
            <v>1.01.02.00.08.00</v>
          </cell>
          <cell r="B149" t="str">
            <v>TEKEL</v>
          </cell>
          <cell r="C149" t="str">
            <v>SİGARA PAZ.VE DAĞ. A.Ş.</v>
          </cell>
          <cell r="D149" t="str">
            <v xml:space="preserve">       -Pazarlama ve Dağıtım Müessesesi </v>
          </cell>
          <cell r="E149" t="str">
            <v xml:space="preserve">           -Artvin Pazarlama ve Dağıtım Başmüdürlüğü</v>
          </cell>
          <cell r="F149" t="str">
            <v xml:space="preserve">           -Artvin Pazarlama ve Dağıtım Başmüdürlüğü</v>
          </cell>
        </row>
        <row r="150">
          <cell r="A150" t="str">
            <v>1.01.02.00.09.00</v>
          </cell>
          <cell r="B150" t="str">
            <v>TEKEL</v>
          </cell>
          <cell r="C150" t="str">
            <v>SİGARA PAZ.VE DAĞ. A.Ş.</v>
          </cell>
          <cell r="D150" t="str">
            <v xml:space="preserve">       -Pazarlama ve Dağıtım Müessesesi </v>
          </cell>
          <cell r="E150" t="str">
            <v xml:space="preserve">           -Aydın Pazarlama ve Dağıtım Başmüdürlüğü</v>
          </cell>
          <cell r="F150" t="str">
            <v xml:space="preserve">           -Aydın Pazarlama ve Dağıtım Başmüdürlüğü</v>
          </cell>
        </row>
        <row r="151">
          <cell r="A151" t="str">
            <v>1.01.02.00.10.00</v>
          </cell>
          <cell r="B151" t="str">
            <v>TEKEL</v>
          </cell>
          <cell r="C151" t="str">
            <v>SİGARA PAZ.VE DAĞ. A.Ş.</v>
          </cell>
          <cell r="D151" t="str">
            <v xml:space="preserve">       -Pazarlama ve Dağıtım Müessesesi </v>
          </cell>
          <cell r="E151" t="str">
            <v xml:space="preserve">           -Balıkesir Pazarlama ve Dağıtım Başmüdürlüğü</v>
          </cell>
          <cell r="F151" t="str">
            <v xml:space="preserve">           -Balıkesir Pazarlama ve Dağıtım Başmüdürlüğü</v>
          </cell>
        </row>
        <row r="152">
          <cell r="A152" t="str">
            <v>1.01.02.00.11.00</v>
          </cell>
          <cell r="B152" t="str">
            <v>TEKEL</v>
          </cell>
          <cell r="C152" t="str">
            <v>SİGARA PAZ.VE DAĞ. A.Ş.</v>
          </cell>
          <cell r="D152" t="str">
            <v xml:space="preserve">       -Pazarlama ve Dağıtım Müessesesi </v>
          </cell>
          <cell r="E152" t="str">
            <v xml:space="preserve">           -Bilecik Pazarlama ve Dağıtım Başmüdürlüğü</v>
          </cell>
          <cell r="F152" t="str">
            <v xml:space="preserve">           -Bilecik Pazarlama ve Dağıtım Başmüdürlüğü</v>
          </cell>
        </row>
        <row r="153">
          <cell r="A153" t="str">
            <v>1.01.02.00.12.00</v>
          </cell>
          <cell r="B153" t="str">
            <v>TEKEL</v>
          </cell>
          <cell r="C153" t="str">
            <v>SİGARA PAZ.VE DAĞ. A.Ş.</v>
          </cell>
          <cell r="D153" t="str">
            <v xml:space="preserve">       -Pazarlama ve Dağıtım Müessesesi </v>
          </cell>
          <cell r="E153" t="str">
            <v xml:space="preserve">           -Bingöl Pazarlama ve Dağıtım Başmüdürlüğü</v>
          </cell>
          <cell r="F153" t="str">
            <v xml:space="preserve">           -Bingöl Pazarlama ve Dağıtım Başmüdürlüğü</v>
          </cell>
        </row>
        <row r="154">
          <cell r="A154" t="str">
            <v>1.01.02.00.13.00</v>
          </cell>
          <cell r="B154" t="str">
            <v>TEKEL</v>
          </cell>
          <cell r="C154" t="str">
            <v>SİGARA PAZ.VE DAĞ. A.Ş.</v>
          </cell>
          <cell r="D154" t="str">
            <v xml:space="preserve">       -Pazarlama ve Dağıtım Müessesesi </v>
          </cell>
          <cell r="E154" t="str">
            <v xml:space="preserve">           -Bitlis Pazarlama ve Dağıtım Başmüdürlüğü</v>
          </cell>
          <cell r="F154" t="str">
            <v xml:space="preserve">           -Bitlis Pazarlama ve Dağıtım Başmüdürlüğü</v>
          </cell>
        </row>
        <row r="155">
          <cell r="A155" t="str">
            <v>1.01.02.00.14.00</v>
          </cell>
          <cell r="B155" t="str">
            <v>TEKEL</v>
          </cell>
          <cell r="C155" t="str">
            <v>SİGARA PAZ.VE DAĞ. A.Ş.</v>
          </cell>
          <cell r="D155" t="str">
            <v xml:space="preserve">       -Pazarlama ve Dağıtım Müessesesi </v>
          </cell>
          <cell r="E155" t="str">
            <v xml:space="preserve">           -Bolu Pazarlama ve Dağıtım Başmüdürlüğü</v>
          </cell>
          <cell r="F155" t="str">
            <v xml:space="preserve">           -Bolu Pazarlama ve Dağıtım Başmüdürlüğü</v>
          </cell>
        </row>
        <row r="156">
          <cell r="A156" t="str">
            <v>1.01.02.00.15.00</v>
          </cell>
          <cell r="B156" t="str">
            <v>TEKEL</v>
          </cell>
          <cell r="C156" t="str">
            <v>SİGARA PAZ.VE DAĞ. A.Ş.</v>
          </cell>
          <cell r="D156" t="str">
            <v xml:space="preserve">       -Pazarlama ve Dağıtım Müessesesi </v>
          </cell>
          <cell r="E156" t="str">
            <v xml:space="preserve">           -Burdur Pazarlama ve Dağıtım Başmüdürlüğü</v>
          </cell>
          <cell r="F156" t="str">
            <v xml:space="preserve">           -Burdur Pazarlama ve Dağıtım Başmüdürlüğü</v>
          </cell>
        </row>
        <row r="157">
          <cell r="A157" t="str">
            <v>1.01.02.00.16.00</v>
          </cell>
          <cell r="B157" t="str">
            <v>TEKEL</v>
          </cell>
          <cell r="C157" t="str">
            <v>SİGARA PAZ.VE DAĞ. A.Ş.</v>
          </cell>
          <cell r="D157" t="str">
            <v xml:space="preserve">       -Pazarlama ve Dağıtım Müessesesi </v>
          </cell>
          <cell r="E157" t="str">
            <v xml:space="preserve">           -Bursa Pazarlama ve Dağıtım Başmüdürlüğü</v>
          </cell>
          <cell r="F157" t="str">
            <v xml:space="preserve">           -Bursa Pazarlama ve Dağıtım Başmüdürlüğü</v>
          </cell>
        </row>
        <row r="158">
          <cell r="A158" t="str">
            <v>1.01.02.00.17.00</v>
          </cell>
          <cell r="B158" t="str">
            <v>TEKEL</v>
          </cell>
          <cell r="C158" t="str">
            <v>SİGARA PAZ.VE DAĞ. A.Ş.</v>
          </cell>
          <cell r="D158" t="str">
            <v xml:space="preserve">       -Pazarlama ve Dağıtım Müessesesi </v>
          </cell>
          <cell r="E158" t="str">
            <v xml:space="preserve">           -Çanakkale Pazarlama ve Dağıtım Başmüdürlüğü</v>
          </cell>
          <cell r="F158" t="str">
            <v xml:space="preserve">           -Çanakkale Pazarlama ve Dağıtım Başmüdürlüğü</v>
          </cell>
        </row>
        <row r="159">
          <cell r="A159" t="str">
            <v>1.01.02.00.18.00</v>
          </cell>
          <cell r="B159" t="str">
            <v>TEKEL</v>
          </cell>
          <cell r="C159" t="str">
            <v>SİGARA PAZ.VE DAĞ. A.Ş.</v>
          </cell>
          <cell r="D159" t="str">
            <v xml:space="preserve">       -Pazarlama ve Dağıtım Müessesesi </v>
          </cell>
          <cell r="E159" t="str">
            <v xml:space="preserve">           -Çankırı Pazarlama ve Dağıtım Başmüdürlüğü</v>
          </cell>
          <cell r="F159" t="str">
            <v xml:space="preserve">           -Çankırı Pazarlama ve Dağıtım Başmüdürlüğü</v>
          </cell>
        </row>
        <row r="160">
          <cell r="A160" t="str">
            <v>1.01.02.00.19.00</v>
          </cell>
          <cell r="B160" t="str">
            <v>TEKEL</v>
          </cell>
          <cell r="C160" t="str">
            <v>SİGARA PAZ.VE DAĞ. A.Ş.</v>
          </cell>
          <cell r="D160" t="str">
            <v xml:space="preserve">       -Pazarlama ve Dağıtım Müessesesi </v>
          </cell>
          <cell r="E160" t="str">
            <v xml:space="preserve">           -Çorum Pazarlama ve Dağıtım Başmüdürlüğü</v>
          </cell>
          <cell r="F160" t="str">
            <v xml:space="preserve">           -Çorum Pazarlama ve Dağıtım Başmüdürlüğü</v>
          </cell>
        </row>
        <row r="161">
          <cell r="A161" t="str">
            <v>1.01.02.00.20.00</v>
          </cell>
          <cell r="B161" t="str">
            <v>TEKEL</v>
          </cell>
          <cell r="C161" t="str">
            <v>SİGARA PAZ.VE DAĞ. A.Ş.</v>
          </cell>
          <cell r="D161" t="str">
            <v xml:space="preserve">       -Pazarlama ve Dağıtım Müessesesi </v>
          </cell>
          <cell r="E161" t="str">
            <v xml:space="preserve">           -Denizli Pazarlama ve Dağıtım Başmüdürlüğü</v>
          </cell>
          <cell r="F161" t="str">
            <v xml:space="preserve">           -Denizli Pazarlama ve Dağıtım Başmüdürlüğü</v>
          </cell>
        </row>
        <row r="162">
          <cell r="A162" t="str">
            <v>1.01.02.00.21.00</v>
          </cell>
          <cell r="B162" t="str">
            <v>TEKEL</v>
          </cell>
          <cell r="C162" t="str">
            <v>SİGARA PAZ.VE DAĞ. A.Ş.</v>
          </cell>
          <cell r="D162" t="str">
            <v xml:space="preserve">       -Pazarlama ve Dağıtım Müessesesi </v>
          </cell>
          <cell r="E162" t="str">
            <v xml:space="preserve">           -Diyarbakır Pazarlama ve Dağıtım Başmüdürlüğü</v>
          </cell>
          <cell r="F162" t="str">
            <v xml:space="preserve">           -Diyarbakır Pazarlama ve Dağıtım Başmüdürlüğü</v>
          </cell>
        </row>
        <row r="163">
          <cell r="A163" t="str">
            <v>1.01.02.00.22.00</v>
          </cell>
          <cell r="B163" t="str">
            <v>TEKEL</v>
          </cell>
          <cell r="C163" t="str">
            <v>SİGARA PAZ.VE DAĞ. A.Ş.</v>
          </cell>
          <cell r="D163" t="str">
            <v xml:space="preserve">       -Pazarlama ve Dağıtım Müessesesi </v>
          </cell>
          <cell r="E163" t="str">
            <v xml:space="preserve">           -Edirne Pazarlama ve Dağıtım Başmüdürlüğü</v>
          </cell>
          <cell r="F163" t="str">
            <v xml:space="preserve">           -Edirne Pazarlama ve Dağıtım Başmüdürlüğü</v>
          </cell>
        </row>
        <row r="164">
          <cell r="A164" t="str">
            <v>1.01.02.00.23.00</v>
          </cell>
          <cell r="B164" t="str">
            <v>TEKEL</v>
          </cell>
          <cell r="C164" t="str">
            <v>SİGARA PAZ.VE DAĞ. A.Ş.</v>
          </cell>
          <cell r="D164" t="str">
            <v xml:space="preserve">       -Pazarlama ve Dağıtım Müessesesi </v>
          </cell>
          <cell r="E164" t="str">
            <v xml:space="preserve">           -Elazığ Pazarlama ve Dağıtım Başmüdürlüğü</v>
          </cell>
          <cell r="F164" t="str">
            <v xml:space="preserve">           -Elazığ Pazarlama ve Dağıtım Başmüdürlüğü</v>
          </cell>
        </row>
        <row r="165">
          <cell r="A165" t="str">
            <v>1.01.02.00.24.00</v>
          </cell>
          <cell r="B165" t="str">
            <v>TEKEL</v>
          </cell>
          <cell r="C165" t="str">
            <v>SİGARA PAZ.VE DAĞ. A.Ş.</v>
          </cell>
          <cell r="D165" t="str">
            <v xml:space="preserve">       -Pazarlama ve Dağıtım Müessesesi </v>
          </cell>
          <cell r="E165" t="str">
            <v xml:space="preserve">           -Erzincan Pazarlama ve Dağıtım Başmüdürlüğü</v>
          </cell>
          <cell r="F165" t="str">
            <v xml:space="preserve">           -Erzincan Pazarlama ve Dağıtım Başmüdürlüğü</v>
          </cell>
        </row>
        <row r="166">
          <cell r="A166" t="str">
            <v>1.01.02.00.25.00</v>
          </cell>
          <cell r="B166" t="str">
            <v>TEKEL</v>
          </cell>
          <cell r="C166" t="str">
            <v>SİGARA PAZ.VE DAĞ. A.Ş.</v>
          </cell>
          <cell r="D166" t="str">
            <v xml:space="preserve">       -Pazarlama ve Dağıtım Müessesesi </v>
          </cell>
          <cell r="E166" t="str">
            <v xml:space="preserve">           -Erzurum Pazarlama ve Dağıtım Başmüdürlüğü</v>
          </cell>
          <cell r="F166" t="str">
            <v xml:space="preserve">           -Erzurum Pazarlama ve Dağıtım Başmüdürlüğü</v>
          </cell>
        </row>
        <row r="167">
          <cell r="A167" t="str">
            <v>1.01.02.00.26.00</v>
          </cell>
          <cell r="B167" t="str">
            <v>TEKEL</v>
          </cell>
          <cell r="C167" t="str">
            <v>SİGARA PAZ.VE DAĞ. A.Ş.</v>
          </cell>
          <cell r="D167" t="str">
            <v xml:space="preserve">       -Pazarlama ve Dağıtım Müessesesi </v>
          </cell>
          <cell r="E167" t="str">
            <v xml:space="preserve">           -Eskişehir Pazarlama ve Dağıtım Başmüdürlüğü</v>
          </cell>
          <cell r="F167" t="str">
            <v xml:space="preserve">           -Eskişehir Pazarlama ve Dağıtım Başmüdürlüğü</v>
          </cell>
        </row>
        <row r="168">
          <cell r="A168" t="str">
            <v>1.01.02.00.27.00</v>
          </cell>
          <cell r="B168" t="str">
            <v>TEKEL</v>
          </cell>
          <cell r="C168" t="str">
            <v>SİGARA PAZ.VE DAĞ. A.Ş.</v>
          </cell>
          <cell r="D168" t="str">
            <v xml:space="preserve">       -Pazarlama ve Dağıtım Müessesesi </v>
          </cell>
          <cell r="E168" t="str">
            <v xml:space="preserve">           -Gaziantep Pazarlama ve Dağıtım Başmüdürlüğü</v>
          </cell>
          <cell r="F168" t="str">
            <v xml:space="preserve">           -Gaziantep Pazarlama ve Dağıtım Başmüdürlüğü</v>
          </cell>
        </row>
        <row r="169">
          <cell r="A169" t="str">
            <v>1.01.02.00.28.00</v>
          </cell>
          <cell r="B169" t="str">
            <v>TEKEL</v>
          </cell>
          <cell r="C169" t="str">
            <v>SİGARA PAZ.VE DAĞ. A.Ş.</v>
          </cell>
          <cell r="D169" t="str">
            <v xml:space="preserve">       -Pazarlama ve Dağıtım Müessesesi </v>
          </cell>
          <cell r="E169" t="str">
            <v xml:space="preserve">           -Giresun Pazarlama ve Dağıtım Başmüdürlüğü</v>
          </cell>
          <cell r="F169" t="str">
            <v xml:space="preserve">           -Giresun Pazarlama ve Dağıtım Başmüdürlüğü</v>
          </cell>
        </row>
        <row r="170">
          <cell r="A170" t="str">
            <v>1.01.02.00.29.00</v>
          </cell>
          <cell r="B170" t="str">
            <v>TEKEL</v>
          </cell>
          <cell r="C170" t="str">
            <v>SİGARA PAZ.VE DAĞ. A.Ş.</v>
          </cell>
          <cell r="D170" t="str">
            <v xml:space="preserve">       -Pazarlama ve Dağıtım Müessesesi </v>
          </cell>
          <cell r="E170" t="str">
            <v xml:space="preserve">           -Gümüşhane Pazarlama ve Dağıtım Başmüdürlüğü</v>
          </cell>
          <cell r="F170" t="str">
            <v xml:space="preserve">           -Gümüşhane Pazarlama ve Dağıtım Başmüdürlüğü</v>
          </cell>
        </row>
        <row r="171">
          <cell r="A171" t="str">
            <v>1.01.02.00.30.00</v>
          </cell>
          <cell r="B171" t="str">
            <v>TEKEL</v>
          </cell>
          <cell r="C171" t="str">
            <v>SİGARA PAZ.VE DAĞ. A.Ş.</v>
          </cell>
          <cell r="D171" t="str">
            <v xml:space="preserve">       -Pazarlama ve Dağıtım Müessesesi </v>
          </cell>
          <cell r="E171" t="str">
            <v xml:space="preserve">           -Hakkari Pazarlama ve Dağıtım Başmüdürlüğü</v>
          </cell>
          <cell r="F171" t="str">
            <v xml:space="preserve">           -Hakkari Pazarlama ve Dağıtım Başmüdürlüğü</v>
          </cell>
        </row>
        <row r="172">
          <cell r="A172" t="str">
            <v>1.01.02.00.31.00</v>
          </cell>
          <cell r="B172" t="str">
            <v>TEKEL</v>
          </cell>
          <cell r="C172" t="str">
            <v>SİGARA PAZ.VE DAĞ. A.Ş.</v>
          </cell>
          <cell r="D172" t="str">
            <v xml:space="preserve">       -Pazarlama ve Dağıtım Müessesesi </v>
          </cell>
          <cell r="E172" t="str">
            <v xml:space="preserve">           -Hatay Pazarlama ve Dağıtım Başmüdürlüğü</v>
          </cell>
          <cell r="F172" t="str">
            <v xml:space="preserve">           -Hatay Pazarlama ve Dağıtım Başmüdürlüğü</v>
          </cell>
        </row>
        <row r="173">
          <cell r="A173" t="str">
            <v>1.01.02.00.32.00</v>
          </cell>
          <cell r="B173" t="str">
            <v>TEKEL</v>
          </cell>
          <cell r="C173" t="str">
            <v>SİGARA PAZ.VE DAĞ. A.Ş.</v>
          </cell>
          <cell r="D173" t="str">
            <v xml:space="preserve">       -Pazarlama ve Dağıtım Müessesesi </v>
          </cell>
          <cell r="E173" t="str">
            <v xml:space="preserve">           -Isparta Pazarlama ve Dağıtım Başmüdürlüğü</v>
          </cell>
          <cell r="F173" t="str">
            <v xml:space="preserve">           -Isparta Pazarlama ve Dağıtım Başmüdürlüğü</v>
          </cell>
        </row>
        <row r="174">
          <cell r="A174" t="str">
            <v>1.01.02.00.33.00</v>
          </cell>
          <cell r="B174" t="str">
            <v>TEKEL</v>
          </cell>
          <cell r="C174" t="str">
            <v>SİGARA PAZ.VE DAĞ. A.Ş.</v>
          </cell>
          <cell r="D174" t="str">
            <v xml:space="preserve">       -Pazarlama ve Dağıtım Müessesesi </v>
          </cell>
          <cell r="E174" t="str">
            <v xml:space="preserve">           -Mersin  Pazarlama ve Dağıtım Başmüdürlüğü</v>
          </cell>
          <cell r="F174" t="str">
            <v xml:space="preserve">           -Mersin  Pazarlama ve Dağıtım Başmüdürlüğü</v>
          </cell>
        </row>
        <row r="175">
          <cell r="A175" t="str">
            <v>1.01.02.00.34B.00</v>
          </cell>
          <cell r="B175" t="str">
            <v>TEKEL</v>
          </cell>
          <cell r="C175" t="str">
            <v>SİGARA PAZ.VE DAĞ. A.Ş.</v>
          </cell>
          <cell r="D175" t="str">
            <v xml:space="preserve">       -Pazarlama ve Dağıtım Müessesesi </v>
          </cell>
          <cell r="E175" t="str">
            <v xml:space="preserve">           -İstanbul Avr.Y. Paz. ve Dağ. Başmüdürlüğü</v>
          </cell>
          <cell r="F175" t="str">
            <v xml:space="preserve">           -İstanbul Avr.Y. Paz. ve Dağ. Başmüdürlüğü</v>
          </cell>
        </row>
        <row r="176">
          <cell r="A176" t="str">
            <v>1.01.02.00.34K.00</v>
          </cell>
          <cell r="B176" t="str">
            <v>TEKEL</v>
          </cell>
          <cell r="C176" t="str">
            <v>SİGARA PAZ.VE DAĞ. A.Ş.</v>
          </cell>
          <cell r="D176" t="str">
            <v xml:space="preserve">       -Pazarlama ve Dağıtım Müessesesi </v>
          </cell>
          <cell r="E176" t="str">
            <v xml:space="preserve">           -İstanbul Ana.Y. Paz. ve Dağıtım Başmüdürlüğü</v>
          </cell>
          <cell r="F176" t="str">
            <v xml:space="preserve">           -İstanbul Ana.Y. Paz. ve Dağıtım Başmüdürlüğü</v>
          </cell>
        </row>
        <row r="177">
          <cell r="A177" t="str">
            <v>1.01.02.00.35.00</v>
          </cell>
          <cell r="B177" t="str">
            <v>TEKEL</v>
          </cell>
          <cell r="C177" t="str">
            <v>SİGARA PAZ.VE DAĞ. A.Ş.</v>
          </cell>
          <cell r="D177" t="str">
            <v xml:space="preserve">       -Pazarlama ve Dağıtım Müessesesi </v>
          </cell>
          <cell r="E177" t="str">
            <v xml:space="preserve">           -İzmir Pazarlama ve Dağıtım Başmüdürlüğü</v>
          </cell>
          <cell r="F177" t="str">
            <v xml:space="preserve">           -İzmir Pazarlama ve Dağıtım Başmüdürlüğü</v>
          </cell>
        </row>
        <row r="178">
          <cell r="A178" t="str">
            <v>1.01.02.00.36.00</v>
          </cell>
          <cell r="B178" t="str">
            <v>TEKEL</v>
          </cell>
          <cell r="C178" t="str">
            <v>SİGARA PAZ.VE DAĞ. A.Ş.</v>
          </cell>
          <cell r="D178" t="str">
            <v xml:space="preserve">       -Pazarlama ve Dağıtım Müessesesi </v>
          </cell>
          <cell r="E178" t="str">
            <v xml:space="preserve">           -Kars Pazarlama ve Dağıtım Başmüdürlüğü</v>
          </cell>
          <cell r="F178" t="str">
            <v xml:space="preserve">           -Kars Pazarlama ve Dağıtım Başmüdürlüğü</v>
          </cell>
        </row>
        <row r="179">
          <cell r="A179" t="str">
            <v>1.01.02.00.37.00</v>
          </cell>
          <cell r="B179" t="str">
            <v>TEKEL</v>
          </cell>
          <cell r="C179" t="str">
            <v>SİGARA PAZ.VE DAĞ. A.Ş.</v>
          </cell>
          <cell r="D179" t="str">
            <v xml:space="preserve">       -Pazarlama ve Dağıtım Müessesesi </v>
          </cell>
          <cell r="E179" t="str">
            <v xml:space="preserve">           -Kastamonu Pazarlama ve Dağıtım Başmüdürlüğü</v>
          </cell>
          <cell r="F179" t="str">
            <v xml:space="preserve">           -Kastamonu Pazarlama ve Dağıtım Başmüdürlüğü</v>
          </cell>
        </row>
        <row r="180">
          <cell r="A180" t="str">
            <v>1.01.02.00.38.00</v>
          </cell>
          <cell r="B180" t="str">
            <v>TEKEL</v>
          </cell>
          <cell r="C180" t="str">
            <v>SİGARA PAZ.VE DAĞ. A.Ş.</v>
          </cell>
          <cell r="D180" t="str">
            <v xml:space="preserve">       -Pazarlama ve Dağıtım Müessesesi </v>
          </cell>
          <cell r="E180" t="str">
            <v xml:space="preserve">           -Kayseri Pazarlama ve Dağıtım Başmüdürlüğü</v>
          </cell>
          <cell r="F180" t="str">
            <v xml:space="preserve">           -Kayseri Pazarlama ve Dağıtım Başmüdürlüğü</v>
          </cell>
        </row>
        <row r="181">
          <cell r="A181" t="str">
            <v>1.01.02.00.39.00</v>
          </cell>
          <cell r="B181" t="str">
            <v>TEKEL</v>
          </cell>
          <cell r="C181" t="str">
            <v>SİGARA PAZ.VE DAĞ. A.Ş.</v>
          </cell>
          <cell r="D181" t="str">
            <v xml:space="preserve">       -Pazarlama ve Dağıtım Müessesesi </v>
          </cell>
          <cell r="E181" t="str">
            <v xml:space="preserve">           -Kırklareli Pazarlama ve Dağıtım Başmüdürlüğü</v>
          </cell>
          <cell r="F181" t="str">
            <v xml:space="preserve">           -Kırklareli Pazarlama ve Dağıtım Başmüdürlüğü</v>
          </cell>
        </row>
        <row r="182">
          <cell r="A182" t="str">
            <v>1.01.02.00.40.00</v>
          </cell>
          <cell r="B182" t="str">
            <v>TEKEL</v>
          </cell>
          <cell r="C182" t="str">
            <v>SİGARA PAZ.VE DAĞ. A.Ş.</v>
          </cell>
          <cell r="D182" t="str">
            <v xml:space="preserve">       -Pazarlama ve Dağıtım Müessesesi </v>
          </cell>
          <cell r="E182" t="str">
            <v xml:space="preserve">           -Kırşehir Pazarlama ve Dağıtım Başmüdürlüğü</v>
          </cell>
          <cell r="F182" t="str">
            <v xml:space="preserve">           -Kırşehir Pazarlama ve Dağıtım Başmüdürlüğü</v>
          </cell>
        </row>
        <row r="183">
          <cell r="A183" t="str">
            <v>1.01.02.00.41.00</v>
          </cell>
          <cell r="B183" t="str">
            <v>TEKEL</v>
          </cell>
          <cell r="C183" t="str">
            <v>SİGARA PAZ.VE DAĞ. A.Ş.</v>
          </cell>
          <cell r="D183" t="str">
            <v xml:space="preserve">       -Pazarlama ve Dağıtım Müessesesi </v>
          </cell>
          <cell r="E183" t="str">
            <v xml:space="preserve">          -Kocaeli Pazarlama ve Dağıtım Başmüdürlüğü  </v>
          </cell>
          <cell r="F183" t="str">
            <v xml:space="preserve">          -Kocaeli Pazarlama ve Dağıtım Başmüdürlüğü  </v>
          </cell>
        </row>
        <row r="184">
          <cell r="A184" t="str">
            <v>1.01.02.00.42.00</v>
          </cell>
          <cell r="B184" t="str">
            <v>TEKEL</v>
          </cell>
          <cell r="C184" t="str">
            <v>SİGARA PAZ.VE DAĞ. A.Ş.</v>
          </cell>
          <cell r="D184" t="str">
            <v xml:space="preserve">       -Pazarlama ve Dağıtım Müessesesi </v>
          </cell>
          <cell r="E184" t="str">
            <v xml:space="preserve">         -Konya Pazarlama ve Dağıtım Başmüdürlüğü</v>
          </cell>
          <cell r="F184" t="str">
            <v xml:space="preserve">         -Konya Pazarlama ve Dağıtım Başmüdürlüğü</v>
          </cell>
        </row>
        <row r="185">
          <cell r="A185" t="str">
            <v>1.01.02.00.43.00</v>
          </cell>
          <cell r="B185" t="str">
            <v>TEKEL</v>
          </cell>
          <cell r="C185" t="str">
            <v>SİGARA PAZ.VE DAĞ. A.Ş.</v>
          </cell>
          <cell r="D185" t="str">
            <v xml:space="preserve">       -Pazarlama ve Dağıtım Müessesesi </v>
          </cell>
          <cell r="E185" t="str">
            <v xml:space="preserve">          -Kütahya Pazarlama ve Dağıtım Başmüdürlüğü</v>
          </cell>
          <cell r="F185" t="str">
            <v xml:space="preserve">          -Kütahya Pazarlama ve Dağıtım Başmüdürlüğü</v>
          </cell>
        </row>
        <row r="186">
          <cell r="A186" t="str">
            <v>1.01.02.00.44.00</v>
          </cell>
          <cell r="B186" t="str">
            <v>TEKEL</v>
          </cell>
          <cell r="C186" t="str">
            <v>SİGARA PAZ.VE DAĞ. A.Ş.</v>
          </cell>
          <cell r="D186" t="str">
            <v xml:space="preserve">       -Pazarlama ve Dağıtım Müessesesi </v>
          </cell>
          <cell r="E186" t="str">
            <v xml:space="preserve">           -Malatya Pazarlama ve Dağıtım Başmüdürlüğü</v>
          </cell>
          <cell r="F186" t="str">
            <v xml:space="preserve">           -Malatya Pazarlama ve Dağıtım Başmüdürlüğü</v>
          </cell>
        </row>
        <row r="187">
          <cell r="A187" t="str">
            <v>1.01.02.00.45.00</v>
          </cell>
          <cell r="B187" t="str">
            <v>TEKEL</v>
          </cell>
          <cell r="C187" t="str">
            <v>SİGARA PAZ.VE DAĞ. A.Ş.</v>
          </cell>
          <cell r="D187" t="str">
            <v xml:space="preserve">       -Pazarlama ve Dağıtım Müessesesi </v>
          </cell>
          <cell r="E187" t="str">
            <v xml:space="preserve">           -Manisa Pazarlama ve Dağıtım Başmüdürlüğü</v>
          </cell>
          <cell r="F187" t="str">
            <v xml:space="preserve">           -Manisa Pazarlama ve Dağıtım Başmüdürlüğü</v>
          </cell>
        </row>
        <row r="188">
          <cell r="A188" t="str">
            <v>1.01.02.00.46.00</v>
          </cell>
          <cell r="B188" t="str">
            <v>TEKEL</v>
          </cell>
          <cell r="C188" t="str">
            <v>SİGARA PAZ.VE DAĞ. A.Ş.</v>
          </cell>
          <cell r="D188" t="str">
            <v xml:space="preserve">       -Pazarlama ve Dağıtım Müessesesi </v>
          </cell>
          <cell r="E188" t="str">
            <v xml:space="preserve">           -K.maraş Pazarlama ve Dağıtım Başmüdürlüğü</v>
          </cell>
          <cell r="F188" t="str">
            <v xml:space="preserve">           -K.maraş Pazarlama ve Dağıtım Başmüdürlüğü</v>
          </cell>
        </row>
        <row r="189">
          <cell r="A189" t="str">
            <v>1.01.02.00.47.00</v>
          </cell>
          <cell r="B189" t="str">
            <v>TEKEL</v>
          </cell>
          <cell r="C189" t="str">
            <v>SİGARA PAZ.VE DAĞ. A.Ş.</v>
          </cell>
          <cell r="D189" t="str">
            <v xml:space="preserve">       -Pazarlama ve Dağıtım Müessesesi </v>
          </cell>
          <cell r="E189" t="str">
            <v xml:space="preserve">           -Mardin Pazarlama ve Dağıtım Başmüdürlüğü</v>
          </cell>
          <cell r="F189" t="str">
            <v xml:space="preserve">           -Mardin Pazarlama ve Dağıtım Başmüdürlüğü</v>
          </cell>
        </row>
        <row r="190">
          <cell r="A190" t="str">
            <v>1.01.02.00.48.00</v>
          </cell>
          <cell r="B190" t="str">
            <v>TEKEL</v>
          </cell>
          <cell r="C190" t="str">
            <v>SİGARA PAZ.VE DAĞ. A.Ş.</v>
          </cell>
          <cell r="D190" t="str">
            <v xml:space="preserve">       -Pazarlama ve Dağıtım Müessesesi </v>
          </cell>
          <cell r="E190" t="str">
            <v xml:space="preserve">           -Muğla Pazarlama ve Dağıtım Başmüdürlüğü</v>
          </cell>
          <cell r="F190" t="str">
            <v xml:space="preserve">           -Muğla Pazarlama ve Dağıtım Başmüdürlüğü</v>
          </cell>
        </row>
        <row r="191">
          <cell r="A191" t="str">
            <v>1.01.02.00.49.00</v>
          </cell>
          <cell r="B191" t="str">
            <v>TEKEL</v>
          </cell>
          <cell r="C191" t="str">
            <v>SİGARA PAZ.VE DAĞ. A.Ş.</v>
          </cell>
          <cell r="D191" t="str">
            <v xml:space="preserve">       -Pazarlama ve Dağıtım Müessesesi </v>
          </cell>
          <cell r="E191" t="str">
            <v xml:space="preserve">           -Muş Pazarlama ve Dağıtım Başmüdürlüğü</v>
          </cell>
          <cell r="F191" t="str">
            <v xml:space="preserve">           -Muş Pazarlama ve Dağıtım Başmüdürlüğü</v>
          </cell>
        </row>
        <row r="192">
          <cell r="A192" t="str">
            <v>1.01.02.00.50.00</v>
          </cell>
          <cell r="B192" t="str">
            <v>TEKEL</v>
          </cell>
          <cell r="C192" t="str">
            <v>SİGARA PAZ.VE DAĞ. A.Ş.</v>
          </cell>
          <cell r="D192" t="str">
            <v xml:space="preserve">       -Pazarlama ve Dağıtım Müessesesi </v>
          </cell>
          <cell r="E192" t="str">
            <v xml:space="preserve">           -Nevşehir Pazarlama ve Dağıtım Başmüdürlüğü</v>
          </cell>
          <cell r="F192" t="str">
            <v xml:space="preserve">           -Nevşehir Pazarlama ve Dağıtım Başmüdürlüğü</v>
          </cell>
        </row>
        <row r="193">
          <cell r="A193" t="str">
            <v>1.01.02.00.51.00</v>
          </cell>
          <cell r="B193" t="str">
            <v>TEKEL</v>
          </cell>
          <cell r="C193" t="str">
            <v>SİGARA PAZ.VE DAĞ. A.Ş.</v>
          </cell>
          <cell r="D193" t="str">
            <v xml:space="preserve">       -Pazarlama ve Dağıtım Müessesesi </v>
          </cell>
          <cell r="E193" t="str">
            <v xml:space="preserve">           -Niğde Pazarlama ve Dağıtım Başmüdürlüğü</v>
          </cell>
          <cell r="F193" t="str">
            <v xml:space="preserve">           -Niğde Pazarlama ve Dağıtım Başmüdürlüğü</v>
          </cell>
        </row>
        <row r="194">
          <cell r="A194" t="str">
            <v>1.01.02.00.52.00</v>
          </cell>
          <cell r="B194" t="str">
            <v>TEKEL</v>
          </cell>
          <cell r="C194" t="str">
            <v>SİGARA PAZ.VE DAĞ. A.Ş.</v>
          </cell>
          <cell r="D194" t="str">
            <v xml:space="preserve">       -Pazarlama ve Dağıtım Müessesesi </v>
          </cell>
          <cell r="E194" t="str">
            <v xml:space="preserve">           -Ordu Pazarlama ve Dağıtım Başmüdürlüğü</v>
          </cell>
          <cell r="F194" t="str">
            <v xml:space="preserve">           -Ordu Pazarlama ve Dağıtım Başmüdürlüğü</v>
          </cell>
        </row>
        <row r="195">
          <cell r="A195" t="str">
            <v>1.01.02.00.53.00</v>
          </cell>
          <cell r="B195" t="str">
            <v>TEKEL</v>
          </cell>
          <cell r="C195" t="str">
            <v>SİGARA PAZ.VE DAĞ. A.Ş.</v>
          </cell>
          <cell r="D195" t="str">
            <v xml:space="preserve">       -Pazarlama ve Dağıtım Müessesesi </v>
          </cell>
          <cell r="E195" t="str">
            <v xml:space="preserve">           -Rize Pazarlama ve Dağıtım Başmüdürlüğü</v>
          </cell>
          <cell r="F195" t="str">
            <v xml:space="preserve">           -Rize Pazarlama ve Dağıtım Başmüdürlüğü</v>
          </cell>
        </row>
        <row r="196">
          <cell r="A196" t="str">
            <v>1.01.02.00.54.00</v>
          </cell>
          <cell r="B196" t="str">
            <v>TEKEL</v>
          </cell>
          <cell r="C196" t="str">
            <v>SİGARA PAZ.VE DAĞ. A.Ş.</v>
          </cell>
          <cell r="D196" t="str">
            <v xml:space="preserve">       -Pazarlama ve Dağıtım Müessesesi </v>
          </cell>
          <cell r="E196" t="str">
            <v xml:space="preserve">           -Sakarya Pazarlama ve Dağıtım  Başmüdürlüğü</v>
          </cell>
          <cell r="F196" t="str">
            <v xml:space="preserve">           -Sakarya Pazarlama ve Dağıtım  Başmüdürlüğü</v>
          </cell>
        </row>
        <row r="197">
          <cell r="A197" t="str">
            <v>1.01.02.00.55.00</v>
          </cell>
          <cell r="B197" t="str">
            <v>TEKEL</v>
          </cell>
          <cell r="C197" t="str">
            <v>SİGARA PAZ.VE DAĞ. A.Ş.</v>
          </cell>
          <cell r="D197" t="str">
            <v xml:space="preserve">       -Pazarlama ve Dağıtım Müessesesi </v>
          </cell>
          <cell r="E197" t="str">
            <v xml:space="preserve">           -Samsun Pazarlama ve Dağıtım  Başmüdürlüğü</v>
          </cell>
          <cell r="F197" t="str">
            <v xml:space="preserve">           -Samsun Pazarlama ve Dağıtım  Başmüdürlüğü</v>
          </cell>
        </row>
        <row r="198">
          <cell r="A198" t="str">
            <v>1.01.02.00.56.00</v>
          </cell>
          <cell r="B198" t="str">
            <v>TEKEL</v>
          </cell>
          <cell r="C198" t="str">
            <v>SİGARA PAZ.VE DAĞ. A.Ş.</v>
          </cell>
          <cell r="D198" t="str">
            <v xml:space="preserve">       -Pazarlama ve Dağıtım Müessesesi </v>
          </cell>
          <cell r="E198" t="str">
            <v xml:space="preserve">           -Siirt Pazarlama ve Dağıtım  Başmüdürlüğü</v>
          </cell>
          <cell r="F198" t="str">
            <v xml:space="preserve">           -Siirt Pazarlama ve Dağıtım  Başmüdürlüğü</v>
          </cell>
        </row>
        <row r="199">
          <cell r="A199" t="str">
            <v>1.01.02.00.57.00</v>
          </cell>
          <cell r="B199" t="str">
            <v>TEKEL</v>
          </cell>
          <cell r="C199" t="str">
            <v>SİGARA PAZ.VE DAĞ. A.Ş.</v>
          </cell>
          <cell r="D199" t="str">
            <v xml:space="preserve">       -Pazarlama ve Dağıtım Müessesesi </v>
          </cell>
          <cell r="E199" t="str">
            <v xml:space="preserve">           -Sinop Pazarlama ve Dağıtım  Başmüdürlüğü</v>
          </cell>
          <cell r="F199" t="str">
            <v xml:space="preserve">           -Sinop Pazarlama ve Dağıtım  Başmüdürlüğü</v>
          </cell>
        </row>
        <row r="200">
          <cell r="A200" t="str">
            <v>1.01.02.00.58.00</v>
          </cell>
          <cell r="B200" t="str">
            <v>TEKEL</v>
          </cell>
          <cell r="C200" t="str">
            <v>SİGARA PAZ.VE DAĞ. A.Ş.</v>
          </cell>
          <cell r="D200" t="str">
            <v xml:space="preserve">       -Pazarlama ve Dağıtım Müessesesi </v>
          </cell>
          <cell r="E200" t="str">
            <v xml:space="preserve">           -Sivas Pazarlama ve Dağıtım  Başmüdürlüğü</v>
          </cell>
          <cell r="F200" t="str">
            <v xml:space="preserve">           -Sivas Pazarlama ve Dağıtım  Başmüdürlüğü</v>
          </cell>
        </row>
        <row r="201">
          <cell r="A201" t="str">
            <v>1.01.02.00.59.00</v>
          </cell>
          <cell r="B201" t="str">
            <v>TEKEL</v>
          </cell>
          <cell r="C201" t="str">
            <v>SİGARA PAZ.VE DAĞ. A.Ş.</v>
          </cell>
          <cell r="D201" t="str">
            <v xml:space="preserve">       -Pazarlama ve Dağıtım Müessesesi </v>
          </cell>
          <cell r="E201" t="str">
            <v xml:space="preserve">           -Tekirdağ Pazarlama ve Dağıtım Başmüdürlüğü</v>
          </cell>
          <cell r="F201" t="str">
            <v xml:space="preserve">           -Tekirdağ Pazarlama ve Dağıtım Başmüdürlüğü</v>
          </cell>
        </row>
        <row r="202">
          <cell r="A202" t="str">
            <v>1.01.02.00.60.00</v>
          </cell>
          <cell r="B202" t="str">
            <v>TEKEL</v>
          </cell>
          <cell r="C202" t="str">
            <v>SİGARA PAZ.VE DAĞ. A.Ş.</v>
          </cell>
          <cell r="D202" t="str">
            <v xml:space="preserve">       -Pazarlama ve Dağıtım Müessesesi </v>
          </cell>
          <cell r="E202" t="str">
            <v xml:space="preserve">           -Tokat Pazarlama ve Dağıtım  Başmüdürlüğü</v>
          </cell>
          <cell r="F202" t="str">
            <v xml:space="preserve">           -Tokat Pazarlama ve Dağıtım  Başmüdürlüğü</v>
          </cell>
        </row>
        <row r="203">
          <cell r="A203" t="str">
            <v>1.01.02.00.61.00</v>
          </cell>
          <cell r="B203" t="str">
            <v>TEKEL</v>
          </cell>
          <cell r="C203" t="str">
            <v>SİGARA PAZ.VE DAĞ. A.Ş.</v>
          </cell>
          <cell r="D203" t="str">
            <v xml:space="preserve">       -Pazarlama ve Dağıtım Müessesesi </v>
          </cell>
          <cell r="E203" t="str">
            <v xml:space="preserve">           -Trabzon Pazarlama ve Dağıtım Başmüdürlüğü</v>
          </cell>
          <cell r="F203" t="str">
            <v xml:space="preserve">           -Trabzon Pazarlama ve Dağıtım Başmüdürlüğü</v>
          </cell>
        </row>
        <row r="204">
          <cell r="A204" t="str">
            <v>1.01.02.00.62.00</v>
          </cell>
          <cell r="B204" t="str">
            <v>TEKEL</v>
          </cell>
          <cell r="C204" t="str">
            <v>SİGARA PAZ.VE DAĞ. A.Ş.</v>
          </cell>
          <cell r="D204" t="str">
            <v xml:space="preserve">       -Pazarlama ve Dağıtım Müessesesi </v>
          </cell>
          <cell r="E204" t="str">
            <v xml:space="preserve">          -Tunceli Pazarlama ve Dağıtım  Başmüdürlüğü</v>
          </cell>
          <cell r="F204" t="str">
            <v xml:space="preserve">          -Tunceli Pazarlama ve Dağıtım  Başmüdürlüğü</v>
          </cell>
        </row>
        <row r="205">
          <cell r="A205" t="str">
            <v>1.01.02.00.63.00</v>
          </cell>
          <cell r="B205" t="str">
            <v>TEKEL</v>
          </cell>
          <cell r="C205" t="str">
            <v>SİGARA PAZ.VE DAĞ. A.Ş.</v>
          </cell>
          <cell r="D205" t="str">
            <v xml:space="preserve">       -Pazarlama ve Dağıtım Müessesesi </v>
          </cell>
          <cell r="E205" t="str">
            <v xml:space="preserve">           -Şanlıurfa Pazarlama ve Dağıtım  Başmüdürlüğü</v>
          </cell>
          <cell r="F205" t="str">
            <v xml:space="preserve">           -Şanlıurfa Pazarlama ve Dağıtım  Başmüdürlüğü</v>
          </cell>
        </row>
        <row r="206">
          <cell r="A206" t="str">
            <v>1.01.02.00.64.00</v>
          </cell>
          <cell r="B206" t="str">
            <v>TEKEL</v>
          </cell>
          <cell r="C206" t="str">
            <v>SİGARA PAZ.VE DAĞ. A.Ş.</v>
          </cell>
          <cell r="D206" t="str">
            <v xml:space="preserve">       -Pazarlama ve Dağıtım Müessesesi </v>
          </cell>
          <cell r="E206" t="str">
            <v xml:space="preserve">           -Uşak Pazarlama ve Dağıtım  Başmüdürlüğü</v>
          </cell>
          <cell r="F206" t="str">
            <v xml:space="preserve">           -Uşak Pazarlama ve Dağıtım  Başmüdürlüğü</v>
          </cell>
        </row>
        <row r="207">
          <cell r="A207" t="str">
            <v>1.01.02.00.65.00</v>
          </cell>
          <cell r="B207" t="str">
            <v>TEKEL</v>
          </cell>
          <cell r="C207" t="str">
            <v>SİGARA PAZ.VE DAĞ. A.Ş.</v>
          </cell>
          <cell r="D207" t="str">
            <v xml:space="preserve">       -Pazarlama ve Dağıtım Müessesesi </v>
          </cell>
          <cell r="E207" t="str">
            <v xml:space="preserve">           -Van Pazarlama ve Dağıtım  Başmüdürlüğü</v>
          </cell>
          <cell r="F207" t="str">
            <v xml:space="preserve">           -Van Pazarlama ve Dağıtım  Başmüdürlüğü</v>
          </cell>
        </row>
        <row r="208">
          <cell r="A208" t="str">
            <v>1.01.02.00.66.00</v>
          </cell>
          <cell r="B208" t="str">
            <v>TEKEL</v>
          </cell>
          <cell r="C208" t="str">
            <v>SİGARA PAZ.VE DAĞ. A.Ş.</v>
          </cell>
          <cell r="D208" t="str">
            <v xml:space="preserve">       -Pazarlama ve Dağıtım Müessesesi </v>
          </cell>
          <cell r="E208" t="str">
            <v xml:space="preserve">           -Yozgat Pazarlama ve Dağıtım  Başmüdürlüğü</v>
          </cell>
          <cell r="F208" t="str">
            <v xml:space="preserve">           -Yozgat Pazarlama ve Dağıtım  Başmüdürlüğü</v>
          </cell>
        </row>
        <row r="209">
          <cell r="A209" t="str">
            <v>1.01.02.00.67.00</v>
          </cell>
          <cell r="B209" t="str">
            <v>TEKEL</v>
          </cell>
          <cell r="C209" t="str">
            <v>SİGARA PAZ.VE DAĞ. A.Ş.</v>
          </cell>
          <cell r="D209" t="str">
            <v xml:space="preserve">       -Pazarlama ve Dağıtım Müessesesi </v>
          </cell>
          <cell r="E209" t="str">
            <v xml:space="preserve">           -Zonguldak Pazarlama ve Dağıtım  Başmüdürlüğü</v>
          </cell>
          <cell r="F209" t="str">
            <v xml:space="preserve">           -Zonguldak Pazarlama ve Dağıtım  Başmüdürlüğü</v>
          </cell>
        </row>
        <row r="210">
          <cell r="A210" t="str">
            <v>1.01.02.00.68.00</v>
          </cell>
          <cell r="B210" t="str">
            <v>TEKEL</v>
          </cell>
          <cell r="C210" t="str">
            <v>SİGARA PAZ.VE DAĞ. A.Ş.</v>
          </cell>
          <cell r="D210" t="str">
            <v xml:space="preserve">       -Pazarlama ve Dağıtım Müessesesi </v>
          </cell>
          <cell r="E210" t="str">
            <v xml:space="preserve">           -Aksaray Pazarlama ve Dağıtım Başmüdürlüğü</v>
          </cell>
          <cell r="F210" t="str">
            <v xml:space="preserve">           -Aksaray Pazarlama ve Dağıtım Başmüdürlüğü</v>
          </cell>
        </row>
        <row r="211">
          <cell r="A211" t="str">
            <v>1.01.02.00.69.00</v>
          </cell>
          <cell r="B211" t="str">
            <v>TEKEL</v>
          </cell>
          <cell r="C211" t="str">
            <v>SİGARA PAZ.VE DAĞ. A.Ş.</v>
          </cell>
          <cell r="D211" t="str">
            <v xml:space="preserve">       -Pazarlama ve Dağıtım Müessesesi </v>
          </cell>
          <cell r="E211" t="str">
            <v xml:space="preserve">           -Bayburt Pazarlama ve Dağıtım Başmüdürlüğü</v>
          </cell>
          <cell r="F211" t="str">
            <v xml:space="preserve">           -Bayburt Pazarlama ve Dağıtım Başmüdürlüğü</v>
          </cell>
        </row>
        <row r="212">
          <cell r="A212" t="str">
            <v>1.01.02.00.70.00</v>
          </cell>
          <cell r="B212" t="str">
            <v>TEKEL</v>
          </cell>
          <cell r="C212" t="str">
            <v>SİGARA PAZ.VE DAĞ. A.Ş.</v>
          </cell>
          <cell r="D212" t="str">
            <v xml:space="preserve">       -Pazarlama ve Dağıtım Müessesesi </v>
          </cell>
          <cell r="E212" t="str">
            <v xml:space="preserve">           -Karaman Pazarlama ve Dağıtım Başmüdürlüğü</v>
          </cell>
          <cell r="F212" t="str">
            <v xml:space="preserve">           -Karaman Pazarlama ve Dağıtım Başmüdürlüğü</v>
          </cell>
        </row>
        <row r="213">
          <cell r="A213" t="str">
            <v>1.01.02.00.71.00</v>
          </cell>
          <cell r="B213" t="str">
            <v>TEKEL</v>
          </cell>
          <cell r="C213" t="str">
            <v>SİGARA PAZ.VE DAĞ. A.Ş.</v>
          </cell>
          <cell r="D213" t="str">
            <v xml:space="preserve">       -Pazarlama ve Dağıtım Müessesesi </v>
          </cell>
          <cell r="E213" t="str">
            <v xml:space="preserve">           -Kırıkkale Pazarlama ve Dağıtım Başmüdürlüğü</v>
          </cell>
          <cell r="F213" t="str">
            <v xml:space="preserve">           -Kırıkkale Pazarlama ve Dağıtım Başmüdürlüğü</v>
          </cell>
        </row>
        <row r="214">
          <cell r="A214" t="str">
            <v>1.01.02.00.72.00</v>
          </cell>
          <cell r="B214" t="str">
            <v>TEKEL</v>
          </cell>
          <cell r="C214" t="str">
            <v>SİGARA PAZ.VE DAĞ. A.Ş.</v>
          </cell>
          <cell r="D214" t="str">
            <v xml:space="preserve">       -Pazarlama ve Dağıtım Müessesesi </v>
          </cell>
          <cell r="E214" t="str">
            <v xml:space="preserve">           -Batman Pazarlama ve Dağıtım Başmüdürlüğü</v>
          </cell>
          <cell r="F214" t="str">
            <v xml:space="preserve">           -Batman Pazarlama ve Dağıtım Başmüdürlüğü</v>
          </cell>
        </row>
        <row r="215">
          <cell r="A215" t="str">
            <v>1.01.02.00.73.00</v>
          </cell>
          <cell r="B215" t="str">
            <v>TEKEL</v>
          </cell>
          <cell r="C215" t="str">
            <v>SİGARA PAZ.VE DAĞ. A.Ş.</v>
          </cell>
          <cell r="D215" t="str">
            <v xml:space="preserve">       -Pazarlama ve Dağıtım Müessesesi </v>
          </cell>
          <cell r="E215" t="str">
            <v xml:space="preserve">           -Şırnak Pazarlama ve Dağıtım Başmüdürlüğü</v>
          </cell>
          <cell r="F215" t="str">
            <v xml:space="preserve">           -Şırnak Pazarlama ve Dağıtım Başmüdürlüğü</v>
          </cell>
        </row>
        <row r="216">
          <cell r="A216" t="str">
            <v>1.01.02.00.74.00</v>
          </cell>
          <cell r="B216" t="str">
            <v>TEKEL</v>
          </cell>
          <cell r="C216" t="str">
            <v>SİGARA PAZ.VE DAĞ. A.Ş.</v>
          </cell>
          <cell r="D216" t="str">
            <v xml:space="preserve">       -Pazarlama ve Dağıtım Müessesesi </v>
          </cell>
          <cell r="E216" t="str">
            <v xml:space="preserve">           -Bartın Pazarlama ve Dağıtım Başmüdürlüğü</v>
          </cell>
          <cell r="F216" t="str">
            <v xml:space="preserve">           -Bartın Pazarlama ve Dağıtım Başmüdürlüğü</v>
          </cell>
        </row>
        <row r="217">
          <cell r="A217" t="str">
            <v>1.01.02.00.75.00</v>
          </cell>
          <cell r="B217" t="str">
            <v>TEKEL</v>
          </cell>
          <cell r="C217" t="str">
            <v>SİGARA PAZ.VE DAĞ. A.Ş.</v>
          </cell>
          <cell r="D217" t="str">
            <v xml:space="preserve">       -Pazarlama ve Dağıtım Müessesesi </v>
          </cell>
          <cell r="E217" t="str">
            <v xml:space="preserve">           -Ardahan Pazarlama ve Dağıtım Başmüdürlüğü</v>
          </cell>
          <cell r="F217" t="str">
            <v xml:space="preserve">           -Ardahan Pazarlama ve Dağıtım Başmüdürlüğü</v>
          </cell>
        </row>
        <row r="218">
          <cell r="A218" t="str">
            <v>1.01.02.00.76.00</v>
          </cell>
          <cell r="B218" t="str">
            <v>TEKEL</v>
          </cell>
          <cell r="C218" t="str">
            <v>SİGARA PAZ.VE DAĞ. A.Ş.</v>
          </cell>
          <cell r="D218" t="str">
            <v xml:space="preserve">       -Pazarlama ve Dağıtım Müessesesi </v>
          </cell>
          <cell r="E218" t="str">
            <v xml:space="preserve">           -Iğdır Pazarlama ve Dağıtım Başmüdürlüğü</v>
          </cell>
          <cell r="F218" t="str">
            <v xml:space="preserve">           -Iğdır Pazarlama ve Dağıtım Başmüdürlüğü</v>
          </cell>
        </row>
        <row r="219">
          <cell r="A219" t="str">
            <v>1.01.02.00.77.00</v>
          </cell>
          <cell r="B219" t="str">
            <v>TEKEL</v>
          </cell>
          <cell r="C219" t="str">
            <v>SİGARA PAZ.VE DAĞ. A.Ş.</v>
          </cell>
          <cell r="D219" t="str">
            <v xml:space="preserve">       -Pazarlama ve Dağıtım Müessesesi </v>
          </cell>
          <cell r="E219" t="str">
            <v xml:space="preserve">           -Yalova Pazarlama ve Dağıtım  Başmüdürlüğü</v>
          </cell>
          <cell r="F219" t="str">
            <v xml:space="preserve">           -Yalova Pazarlama ve Dağıtım  Başmüdürlüğü</v>
          </cell>
        </row>
        <row r="220">
          <cell r="A220" t="str">
            <v>1.01.02.00.78.00</v>
          </cell>
          <cell r="B220" t="str">
            <v>TEKEL</v>
          </cell>
          <cell r="C220" t="str">
            <v>SİGARA PAZ.VE DAĞ. A.Ş.</v>
          </cell>
          <cell r="D220" t="str">
            <v xml:space="preserve">       -Pazarlama ve Dağıtım Müessesesi </v>
          </cell>
          <cell r="E220" t="str">
            <v xml:space="preserve">           -Karabük Paz. ve Dağıtım Başmüdürlüğü</v>
          </cell>
          <cell r="F220" t="str">
            <v xml:space="preserve">           -Karabük Paz. ve Dağıtım Başmüdürlüğü</v>
          </cell>
        </row>
        <row r="221">
          <cell r="A221" t="str">
            <v>1.01.02.00.79.00</v>
          </cell>
          <cell r="B221" t="str">
            <v>TEKEL</v>
          </cell>
          <cell r="C221" t="str">
            <v>SİGARA PAZ.VE DAĞ. A.Ş.</v>
          </cell>
          <cell r="D221" t="str">
            <v xml:space="preserve">       -Pazarlama ve Dağıtım Müessesesi </v>
          </cell>
          <cell r="E221" t="str">
            <v xml:space="preserve">           -Kilis Pazarlama ve Dağıtım Başmüdürlüğü</v>
          </cell>
          <cell r="F221" t="str">
            <v xml:space="preserve">           -Kilis Pazarlama ve Dağıtım Başmüdürlüğü</v>
          </cell>
        </row>
        <row r="222">
          <cell r="A222" t="str">
            <v>1.01.02.00.80.00</v>
          </cell>
          <cell r="B222" t="str">
            <v>TEKEL</v>
          </cell>
          <cell r="C222" t="str">
            <v>SİGARA PAZ.VE DAĞ. A.Ş.</v>
          </cell>
          <cell r="D222" t="str">
            <v xml:space="preserve">       -Pazarlama ve Dağıtım Müessesesi </v>
          </cell>
          <cell r="E222" t="str">
            <v xml:space="preserve">           -Osmaniye Pazarlama ve Dağıtım Başmüdürlüğü</v>
          </cell>
          <cell r="F222" t="str">
            <v xml:space="preserve">           -Osmaniye Pazarlama ve Dağıtım Başmüdürlüğü</v>
          </cell>
        </row>
        <row r="223">
          <cell r="A223" t="str">
            <v>1.01.02.00.81.00</v>
          </cell>
          <cell r="B223" t="str">
            <v>TEKEL</v>
          </cell>
          <cell r="C223" t="str">
            <v>SİGARA PAZ.VE DAĞ. A.Ş.</v>
          </cell>
          <cell r="D223" t="str">
            <v xml:space="preserve">       -Pazarlama ve Dağıtım Müessesesi </v>
          </cell>
          <cell r="E223" t="str">
            <v xml:space="preserve">           -Düzce Pazarlama ve Dağıtım Başmüdürlüğü</v>
          </cell>
          <cell r="F223" t="str">
            <v xml:space="preserve">           -Düzce Pazarlama ve Dağıtım Başmüdürlüğü</v>
          </cell>
        </row>
        <row r="224">
          <cell r="A224" t="str">
            <v>1.01.03.00.00.00</v>
          </cell>
          <cell r="B224" t="str">
            <v>TEKEL</v>
          </cell>
          <cell r="C224" t="str">
            <v>KRİSTAL TUZ RAF. SAN. TİC. A.Ş.</v>
          </cell>
          <cell r="D224" t="str">
            <v xml:space="preserve">       -Tuz Sanayii Müessesesi</v>
          </cell>
          <cell r="E224" t="str">
            <v xml:space="preserve">       -Tuz Sanayii Müessesesi</v>
          </cell>
          <cell r="F224" t="str">
            <v xml:space="preserve">       -Tuz Sanayii Müessesesi</v>
          </cell>
        </row>
        <row r="225">
          <cell r="A225" t="str">
            <v>1.01.03.00.01.00</v>
          </cell>
          <cell r="B225" t="str">
            <v>TEKEL</v>
          </cell>
          <cell r="C225" t="str">
            <v>KRİSTAL TUZ RAF. SAN. TİC. A.Ş.</v>
          </cell>
          <cell r="D225" t="str">
            <v xml:space="preserve">       -Tuz Sanayii Müessesesi</v>
          </cell>
          <cell r="E225" t="str">
            <v xml:space="preserve">           -Çamaltı Tuz İşletmesi Müdürlüğü</v>
          </cell>
          <cell r="F225" t="str">
            <v xml:space="preserve">           -Çamaltı Tuz İşletmesi Müdürlüğü</v>
          </cell>
        </row>
        <row r="226">
          <cell r="A226" t="str">
            <v>1.01.03.00.02.00</v>
          </cell>
          <cell r="B226" t="str">
            <v>TEKEL</v>
          </cell>
          <cell r="C226" t="str">
            <v>KRİSTAL TUZ RAF. SAN. TİC. A.Ş.</v>
          </cell>
          <cell r="D226" t="str">
            <v xml:space="preserve">       -Tuz Sanayii Müessesesi</v>
          </cell>
          <cell r="E226" t="str">
            <v xml:space="preserve">           -Çankırı Tuz İşletmesi Müdürlüğü</v>
          </cell>
          <cell r="F226" t="str">
            <v xml:space="preserve">           -Çankırı Tuz İşletmesi Müdürlüğü</v>
          </cell>
        </row>
        <row r="227">
          <cell r="A227" t="str">
            <v>1.01.03.00.03.00</v>
          </cell>
          <cell r="B227" t="str">
            <v>TEKEL</v>
          </cell>
          <cell r="C227" t="str">
            <v>KRİSTAL TUZ RAF. SAN. TİC. A.Ş.</v>
          </cell>
          <cell r="D227" t="str">
            <v xml:space="preserve">       -Tuz Sanayii Müessesesi</v>
          </cell>
          <cell r="E227" t="str">
            <v xml:space="preserve">           -Ayvalık Tuz İşletmesi Müdürlüğü</v>
          </cell>
          <cell r="F227" t="str">
            <v xml:space="preserve">           -Ayvalık Tuz İşletmesi Müdürlüğü</v>
          </cell>
        </row>
        <row r="228">
          <cell r="A228" t="str">
            <v>1.01.03.00.04.00</v>
          </cell>
          <cell r="B228" t="str">
            <v>TEKEL</v>
          </cell>
          <cell r="C228" t="str">
            <v>KRİSTAL TUZ RAF. SAN. TİC. A.Ş.</v>
          </cell>
          <cell r="D228" t="str">
            <v xml:space="preserve">       -Tuz Sanayii Müessesesi</v>
          </cell>
          <cell r="E228" t="str">
            <v xml:space="preserve">           -Erzincan Tuz İşletmesi Müdürlüğü</v>
          </cell>
          <cell r="F228" t="str">
            <v xml:space="preserve">           -Erzincan Tuz İşletmesi Müdürlüğü</v>
          </cell>
        </row>
        <row r="229">
          <cell r="A229" t="str">
            <v>1.01.03.00.05.00</v>
          </cell>
          <cell r="B229" t="str">
            <v>TEKEL</v>
          </cell>
          <cell r="C229" t="str">
            <v>KRİSTAL TUZ RAF. SAN. TİC. A.Ş.</v>
          </cell>
          <cell r="D229" t="str">
            <v xml:space="preserve">       -Tuz Sanayii Müessesesi</v>
          </cell>
          <cell r="E229" t="str">
            <v xml:space="preserve">           -Kağızman Tuz İşletmesi Müdürlüğü</v>
          </cell>
          <cell r="F229" t="str">
            <v xml:space="preserve">           -Kağızman Tuz İşletmesi Müdürlüğü</v>
          </cell>
        </row>
        <row r="230">
          <cell r="A230" t="str">
            <v>1.01.03.00.06.00</v>
          </cell>
          <cell r="B230" t="str">
            <v>TEKEL</v>
          </cell>
          <cell r="C230" t="str">
            <v>KRİSTAL TUZ RAF. SAN. TİC. A.Ş.</v>
          </cell>
          <cell r="D230" t="str">
            <v xml:space="preserve">       -Tuz Sanayii Müessesesi</v>
          </cell>
          <cell r="E230" t="str">
            <v xml:space="preserve">           -Kaldırım Tuz işletmesi Müdürlüğü</v>
          </cell>
          <cell r="F230" t="str">
            <v xml:space="preserve">           -Kaldırım Tuz işletmesi Müdürlüğü</v>
          </cell>
        </row>
        <row r="231">
          <cell r="A231" t="str">
            <v>1.01.03.00.07.00</v>
          </cell>
          <cell r="B231" t="str">
            <v>TEKEL</v>
          </cell>
          <cell r="C231" t="str">
            <v>KRİSTAL TUZ RAF. SAN. TİC. A.Ş.</v>
          </cell>
          <cell r="D231" t="str">
            <v xml:space="preserve">       -Tuz Sanayii Müessesesi</v>
          </cell>
          <cell r="E231" t="str">
            <v xml:space="preserve">           -Kayacık Tuz İşletmesi Müdürlüğü</v>
          </cell>
          <cell r="F231" t="str">
            <v xml:space="preserve">           -Kayacık Tuz İşletmesi Müdürlüğü</v>
          </cell>
        </row>
        <row r="232">
          <cell r="A232" t="str">
            <v>1.01.03.00.08.00</v>
          </cell>
          <cell r="B232" t="str">
            <v>TEKEL</v>
          </cell>
          <cell r="C232" t="str">
            <v>KRİSTAL TUZ RAF. SAN. TİC. A.Ş.</v>
          </cell>
          <cell r="D232" t="str">
            <v xml:space="preserve">       -Tuz Sanayii Müessesesi</v>
          </cell>
          <cell r="E232" t="str">
            <v xml:space="preserve">           -Tuzluca Tuz İşletmesi Müdürlüğü</v>
          </cell>
          <cell r="F232" t="str">
            <v xml:space="preserve">           -Tuzluca Tuz İşletmesi Müdürlüğü</v>
          </cell>
        </row>
        <row r="233">
          <cell r="A233" t="str">
            <v>1.01.03.00.09.00</v>
          </cell>
          <cell r="B233" t="str">
            <v>TEKEL</v>
          </cell>
          <cell r="C233" t="str">
            <v>KRİSTAL TUZ RAF. SAN. TİC. A.Ş.</v>
          </cell>
          <cell r="D233" t="str">
            <v xml:space="preserve">       -Tuz Sanayii Müessesesi</v>
          </cell>
          <cell r="E233" t="str">
            <v xml:space="preserve">           -Yavşan Tuz İşletmesi Müdürlüğü</v>
          </cell>
          <cell r="F233" t="str">
            <v xml:space="preserve">           -Yavşan Tuz İşletmesi Müdürlüğü</v>
          </cell>
        </row>
        <row r="234">
          <cell r="A234" t="str">
            <v>1.01.09.00.00.00</v>
          </cell>
          <cell r="B234" t="str">
            <v>TEKEL</v>
          </cell>
          <cell r="C234" t="str">
            <v>ALKOLLÜ İÇKİLER SANAYİ MÜES.</v>
          </cell>
          <cell r="D234" t="str">
            <v xml:space="preserve">       -Alkollü İçkiler Sanayii Müessesesi</v>
          </cell>
          <cell r="E234" t="str">
            <v xml:space="preserve">       -Alkollü İçkiler Sanayii Müessesesi</v>
          </cell>
          <cell r="F234" t="str">
            <v xml:space="preserve">       -Alkollü İçkiler Sanayii Müessesesi</v>
          </cell>
        </row>
        <row r="235">
          <cell r="A235" t="str">
            <v>1.01.09.00.01.00</v>
          </cell>
          <cell r="B235" t="str">
            <v>TEKEL</v>
          </cell>
          <cell r="C235" t="str">
            <v>ALKOLLÜ İÇKİLER SANAYİ MÜES.</v>
          </cell>
          <cell r="D235" t="str">
            <v xml:space="preserve">       -Alkollü İçkiler Sanayii Müessesesi</v>
          </cell>
          <cell r="E235" t="str">
            <v xml:space="preserve">            -İstanbul İçki Fab. Müdürlüğü</v>
          </cell>
          <cell r="F235" t="str">
            <v xml:space="preserve">            -İstanbul İçki Fab. Müdürlüğü</v>
          </cell>
        </row>
        <row r="236">
          <cell r="A236" t="str">
            <v>1.01.09.00.02.00</v>
          </cell>
          <cell r="B236" t="str">
            <v>TEKEL</v>
          </cell>
          <cell r="C236" t="str">
            <v>ALKOLLÜ İÇKİLER SANAYİ MÜES.</v>
          </cell>
          <cell r="D236" t="str">
            <v xml:space="preserve">       -Alkollü İçkiler Sanayii Müessesesi</v>
          </cell>
          <cell r="E236" t="str">
            <v xml:space="preserve">            -İzmir İçki Fabrikası Müdürlüğü</v>
          </cell>
          <cell r="F236" t="str">
            <v xml:space="preserve">            -İzmir İçki Fabrikası Müdürlüğü</v>
          </cell>
        </row>
        <row r="237">
          <cell r="A237" t="str">
            <v>1.01.09.00.03.00</v>
          </cell>
          <cell r="B237" t="str">
            <v>TEKEL</v>
          </cell>
          <cell r="C237" t="str">
            <v>ALKOLLÜ İÇKİLER SANAYİ MÜES.</v>
          </cell>
          <cell r="D237" t="str">
            <v xml:space="preserve">       -Alkollü İçkiler Sanayii Müessesesi</v>
          </cell>
          <cell r="E237" t="str">
            <v xml:space="preserve">            -Gaziantep İçki Fabrikası Müdürlüğü</v>
          </cell>
          <cell r="F237" t="str">
            <v xml:space="preserve">            -Gaziantep İçki Fabrikası Müdürlüğü</v>
          </cell>
        </row>
        <row r="238">
          <cell r="A238" t="str">
            <v>1.01.09.00.04.00</v>
          </cell>
          <cell r="B238" t="str">
            <v>TEKEL</v>
          </cell>
          <cell r="C238" t="str">
            <v>ALKOLLÜ İÇKİLER SANAYİ MÜES.</v>
          </cell>
          <cell r="D238" t="str">
            <v xml:space="preserve">       -Alkollü İçkiler Sanayii Müessesesi</v>
          </cell>
          <cell r="E238" t="str">
            <v xml:space="preserve">            -Diyarbakır İçki Fabrikası Müdürlüğü </v>
          </cell>
          <cell r="F238" t="str">
            <v xml:space="preserve">            -Diyarbakır İçki Fabrikası Müdürlüğü </v>
          </cell>
        </row>
        <row r="239">
          <cell r="A239" t="str">
            <v>1.01.09.00.05.00</v>
          </cell>
          <cell r="B239" t="str">
            <v>TEKEL</v>
          </cell>
          <cell r="C239" t="str">
            <v>ALKOLLÜ İÇKİLER SANAYİ MÜES.</v>
          </cell>
          <cell r="D239" t="str">
            <v xml:space="preserve">       -Alkollü İçkiler Sanayii Müessesesi</v>
          </cell>
          <cell r="E239" t="str">
            <v xml:space="preserve">            -Nevşehir İçki Fabrikası Müdürlüğü</v>
          </cell>
          <cell r="F239" t="str">
            <v xml:space="preserve">            -Nevşehir İçki Fabrikası Müdürlüğü</v>
          </cell>
        </row>
        <row r="240">
          <cell r="A240" t="str">
            <v>1.01.09.00.06.00</v>
          </cell>
          <cell r="B240" t="str">
            <v>TEKEL</v>
          </cell>
          <cell r="C240" t="str">
            <v>ALKOLLÜ İÇKİLER SANAYİ MÜES.</v>
          </cell>
          <cell r="D240" t="str">
            <v xml:space="preserve">       -Alkollü İçkiler Sanayii Müessesesi</v>
          </cell>
          <cell r="E240" t="str">
            <v xml:space="preserve">            -Ankara İçki Fabrikası Müdürlüğü</v>
          </cell>
          <cell r="F240" t="str">
            <v xml:space="preserve">            -Ankara İçki Fabrikası Müdürlüğü</v>
          </cell>
        </row>
        <row r="241">
          <cell r="A241" t="str">
            <v>1.01.09.00.07.00</v>
          </cell>
          <cell r="B241" t="str">
            <v>TEKEL</v>
          </cell>
          <cell r="C241" t="str">
            <v>ALKOLLÜ İÇKİLER SANAYİ MÜES.</v>
          </cell>
          <cell r="D241" t="str">
            <v xml:space="preserve">       -Alkollü İçkiler Sanayii Müessesesi</v>
          </cell>
          <cell r="E241" t="str">
            <v xml:space="preserve">            -Bilecik İçki Fabrikası Müdürlüğü</v>
          </cell>
          <cell r="F241" t="str">
            <v xml:space="preserve">            -Bilecik İçki Fabrikası Müdürlüğü</v>
          </cell>
        </row>
        <row r="242">
          <cell r="A242" t="str">
            <v>1.01.09.00.08.00</v>
          </cell>
          <cell r="B242" t="str">
            <v>TEKEL</v>
          </cell>
          <cell r="C242" t="str">
            <v>ALKOLLÜ İÇKİLER SANAYİ MÜES.</v>
          </cell>
          <cell r="D242" t="str">
            <v xml:space="preserve">       -Alkollü İçkiler Sanayii Müessesesi</v>
          </cell>
          <cell r="E242" t="str">
            <v xml:space="preserve">            -Tekirdağ İçki Fabrikası Müdürlüğü</v>
          </cell>
          <cell r="F242" t="str">
            <v xml:space="preserve">            -Tekirdağ İçki Fabrikası Müdürlüğü</v>
          </cell>
        </row>
        <row r="243">
          <cell r="A243" t="str">
            <v>1.01.09.00.09.00</v>
          </cell>
          <cell r="B243" t="str">
            <v>TEKEL</v>
          </cell>
          <cell r="C243" t="str">
            <v>ALKOLLÜ İÇKİLER SANAYİ MÜES.</v>
          </cell>
          <cell r="D243" t="str">
            <v xml:space="preserve">       -Alkollü İçkiler Sanayii Müessesesi</v>
          </cell>
          <cell r="E243" t="str">
            <v xml:space="preserve">            -Yozgat Bira Fabrikası Müdürlüğü</v>
          </cell>
          <cell r="F243" t="str">
            <v xml:space="preserve">            -Yozgat Bira Fabrikası Müdürlüğü</v>
          </cell>
        </row>
        <row r="244">
          <cell r="A244" t="str">
            <v>1.01.09.00.10.00</v>
          </cell>
          <cell r="B244" t="str">
            <v>TEKEL</v>
          </cell>
          <cell r="C244" t="str">
            <v>ALKOLLÜ İÇKİLER SANAYİ MÜES.</v>
          </cell>
          <cell r="D244" t="str">
            <v xml:space="preserve">       -Alkollü İçkiler Sanayii Müessesesi</v>
          </cell>
          <cell r="E244" t="str">
            <v xml:space="preserve">            -Çanakkale Kanyak Fabrikası Müdürlüğü</v>
          </cell>
          <cell r="F244" t="str">
            <v xml:space="preserve">            -Çanakkale Kanyak Fabrikası Müdürlüğü</v>
          </cell>
        </row>
        <row r="245">
          <cell r="A245" t="str">
            <v>1.01.09.00.11.00</v>
          </cell>
          <cell r="B245" t="str">
            <v>TEKEL</v>
          </cell>
          <cell r="C245" t="str">
            <v>ALKOLLÜ İÇKİLER SANAYİ MÜES.</v>
          </cell>
          <cell r="D245" t="str">
            <v xml:space="preserve">       -Alkollü İçkiler Sanayii Müessesesi</v>
          </cell>
          <cell r="E245" t="str">
            <v xml:space="preserve">            -Ürgüp Şarap Fabrikası Müdürlüğü</v>
          </cell>
          <cell r="F245" t="str">
            <v xml:space="preserve">            -Ürgüp Şarap Fabrikası Müdürlüğü</v>
          </cell>
        </row>
        <row r="246">
          <cell r="A246" t="str">
            <v>1.01.09.00.12.00</v>
          </cell>
          <cell r="B246" t="str">
            <v>TEKEL</v>
          </cell>
          <cell r="C246" t="str">
            <v>ALKOLLÜ İÇKİLER SANAYİ MÜES.</v>
          </cell>
          <cell r="D246" t="str">
            <v xml:space="preserve">       -Alkollü İçkiler Sanayii Müessesesi</v>
          </cell>
          <cell r="E246" t="str">
            <v xml:space="preserve">            -Elazığ Şarap Fabrikası Müdürlüğü</v>
          </cell>
          <cell r="F246" t="str">
            <v xml:space="preserve">            -Elazığ Şarap Fabrikası Müdürlüğü</v>
          </cell>
        </row>
        <row r="247">
          <cell r="A247" t="str">
            <v>1.01.09.00.13.00</v>
          </cell>
          <cell r="B247" t="str">
            <v>TEKEL</v>
          </cell>
          <cell r="C247" t="str">
            <v>ALKOLLÜ İÇKİLER SANAYİ MÜES.</v>
          </cell>
          <cell r="D247" t="str">
            <v xml:space="preserve">       -Alkollü İçkiler Sanayii Müessesesi</v>
          </cell>
          <cell r="E247" t="str">
            <v xml:space="preserve">            -Şarköy Şarap Fabrikası Müdürlüğü</v>
          </cell>
          <cell r="F247" t="str">
            <v xml:space="preserve">            -Şarköy Şarap Fabrikası Müdürlüğü</v>
          </cell>
        </row>
        <row r="248">
          <cell r="A248" t="str">
            <v>1.01.09.00.14.00</v>
          </cell>
          <cell r="B248" t="str">
            <v>TEKEL</v>
          </cell>
          <cell r="C248" t="str">
            <v>ALKOLLÜ İÇKİLER SANAYİ MÜES.</v>
          </cell>
          <cell r="D248" t="str">
            <v xml:space="preserve">       -Alkollü İçkiler Sanayii Müessesesi</v>
          </cell>
          <cell r="E248" t="str">
            <v xml:space="preserve">            -Kırıkkale Şarap Fabrikası Müdürlüğü</v>
          </cell>
          <cell r="F248" t="str">
            <v xml:space="preserve">            -Kırıkkale Şarap Fabrikası Müdürlüğü</v>
          </cell>
        </row>
        <row r="249">
          <cell r="A249" t="str">
            <v>1.01.09.00.15.00</v>
          </cell>
          <cell r="B249" t="str">
            <v>TEKEL</v>
          </cell>
          <cell r="C249" t="str">
            <v>ALKOLLÜ İÇKİLER SANAYİ MÜES.</v>
          </cell>
          <cell r="D249" t="str">
            <v xml:space="preserve">       -Alkollü İçkiler Sanayii Müessesesi</v>
          </cell>
          <cell r="E249" t="str">
            <v xml:space="preserve">            -Şanlıurfa Suma Fabrikası Müdürlüğü</v>
          </cell>
          <cell r="F249" t="str">
            <v xml:space="preserve">            -Şanlıurfa Suma Fabrikası Müdürlüğü</v>
          </cell>
        </row>
        <row r="250">
          <cell r="A250" t="str">
            <v>1.01.09.00.16.00</v>
          </cell>
          <cell r="B250" t="str">
            <v>TEKEL</v>
          </cell>
          <cell r="C250" t="str">
            <v>ALKOLLÜ İÇKİLER SANAYİ MÜES.</v>
          </cell>
          <cell r="D250" t="str">
            <v xml:space="preserve">       -Alkollü İçkiler Sanayii Müessesesi</v>
          </cell>
          <cell r="E250" t="str">
            <v xml:space="preserve">            -Karaman Suma Fabrikası Müdürlüğü</v>
          </cell>
          <cell r="F250" t="str">
            <v xml:space="preserve">            -Karaman Suma Fabrikası Müdürlüğü</v>
          </cell>
        </row>
        <row r="251">
          <cell r="A251" t="str">
            <v>1.01.09.00.17.00</v>
          </cell>
          <cell r="B251" t="str">
            <v>TEKEL</v>
          </cell>
          <cell r="C251" t="str">
            <v>ALKOLLÜ İÇKİLER SANAYİ MÜES.</v>
          </cell>
          <cell r="D251" t="str">
            <v xml:space="preserve">       -Alkollü İçkiler Sanayii Müessesesi</v>
          </cell>
          <cell r="E251" t="str">
            <v xml:space="preserve">            -Kilis Suma Fabrikası Müdürlüğü</v>
          </cell>
          <cell r="F251" t="str">
            <v xml:space="preserve">            -Kilis Suma Fabrikası Müdürlüğü</v>
          </cell>
        </row>
        <row r="252">
          <cell r="A252" t="str">
            <v>1.01.09.00.18.00</v>
          </cell>
          <cell r="B252" t="str">
            <v>TEKEL</v>
          </cell>
          <cell r="C252" t="str">
            <v>ALKOLLÜ İÇKİLER SANAYİ MÜES.</v>
          </cell>
          <cell r="D252" t="str">
            <v xml:space="preserve">       -Alkollü İçkiler Sanayii Müessesesi</v>
          </cell>
          <cell r="E252" t="str">
            <v xml:space="preserve">           -Alaşehir Suma Fabrikası Müdürlüğü</v>
          </cell>
          <cell r="F252" t="str">
            <v xml:space="preserve">           -Alaşehir Suma Fabrikası Müdürlüğü</v>
          </cell>
        </row>
        <row r="253">
          <cell r="A253" t="str">
            <v>1.01.09.00.19.00</v>
          </cell>
          <cell r="B253" t="str">
            <v>TEKEL</v>
          </cell>
          <cell r="C253" t="str">
            <v>ALKOLLÜ İÇKİLER SANAYİ MÜES.</v>
          </cell>
          <cell r="D253" t="str">
            <v xml:space="preserve">       -Alkollü İçkiler Sanayii Müessesesi</v>
          </cell>
          <cell r="E253" t="str">
            <v xml:space="preserve">           -Tarsus Suma Fabrikası Müdürlüğü</v>
          </cell>
          <cell r="F253" t="str">
            <v xml:space="preserve">           -Tarsus Suma Fabrikası Müdürlüğü</v>
          </cell>
        </row>
        <row r="254">
          <cell r="A254" t="str">
            <v>1.01.09.00.20.00</v>
          </cell>
          <cell r="B254" t="str">
            <v>TEKEL</v>
          </cell>
          <cell r="C254" t="str">
            <v>ALKOLLÜ İÇKİLER SANAYİ MÜES.</v>
          </cell>
          <cell r="D254" t="str">
            <v xml:space="preserve">       -Alkollü İçkiler Sanayii Müessesesi</v>
          </cell>
          <cell r="E254" t="str">
            <v xml:space="preserve">           -Antalya Başmüdürlüğü</v>
          </cell>
          <cell r="F254" t="str">
            <v xml:space="preserve">           -Antalya Başmüdürlüğü</v>
          </cell>
        </row>
        <row r="255">
          <cell r="A255" t="str">
            <v>1.01.09.00.21.00</v>
          </cell>
          <cell r="B255" t="str">
            <v>TEKEL</v>
          </cell>
          <cell r="C255" t="str">
            <v>ALKOLLÜ İÇKİLER SANAYİ MÜES.</v>
          </cell>
          <cell r="D255" t="str">
            <v xml:space="preserve">       -Alkollü İçkiler Sanayii Müessesesi</v>
          </cell>
          <cell r="E255" t="str">
            <v xml:space="preserve">           -Burdur Başmüdürlüğü</v>
          </cell>
          <cell r="F255" t="str">
            <v xml:space="preserve">           -Burdur Başmüdürlüğü</v>
          </cell>
        </row>
        <row r="256">
          <cell r="A256" t="str">
            <v>1.01.09.00.22.00</v>
          </cell>
          <cell r="B256" t="str">
            <v>TEKEL</v>
          </cell>
          <cell r="C256" t="str">
            <v>ALKOLLÜ İÇKİLER SANAYİ MÜES.</v>
          </cell>
          <cell r="D256" t="str">
            <v xml:space="preserve">       -Alkollü İçkiler Sanayii Müessesesi</v>
          </cell>
          <cell r="E256" t="str">
            <v xml:space="preserve">           -Denizli Başmüdürlüğü</v>
          </cell>
          <cell r="F256" t="str">
            <v xml:space="preserve">           -Denizli Başmüdürlüğü</v>
          </cell>
        </row>
        <row r="257">
          <cell r="A257" t="str">
            <v>1.01.09.00.23.00</v>
          </cell>
          <cell r="B257" t="str">
            <v>TEKEL</v>
          </cell>
          <cell r="C257" t="str">
            <v>ALKOLLÜ İÇKİLER SANAYİ MÜES.</v>
          </cell>
          <cell r="D257" t="str">
            <v xml:space="preserve">       -Alkollü İçkiler Sanayii Müessesesi</v>
          </cell>
          <cell r="E257" t="str">
            <v xml:space="preserve">           -Erzurum Başmüdürlüğü</v>
          </cell>
          <cell r="F257" t="str">
            <v xml:space="preserve">           -Erzurum Başmüdürlüğü</v>
          </cell>
        </row>
        <row r="258">
          <cell r="A258" t="str">
            <v>1.01.09.00.24.00</v>
          </cell>
          <cell r="B258" t="str">
            <v>TEKEL</v>
          </cell>
          <cell r="C258" t="str">
            <v>ALKOLLÜ İÇKİLER SANAYİ MÜES.</v>
          </cell>
          <cell r="D258" t="str">
            <v xml:space="preserve">       -Alkollü İçkiler Sanayii Müessesesi</v>
          </cell>
          <cell r="E258" t="str">
            <v xml:space="preserve">           -Eskişehir İsp. Tağyirhanesi</v>
          </cell>
          <cell r="F258" t="str">
            <v xml:space="preserve">           -Eskişehir İsp. Tağyirhanesi</v>
          </cell>
        </row>
        <row r="259">
          <cell r="A259" t="str">
            <v>1.01.09.00.25.00</v>
          </cell>
          <cell r="B259" t="str">
            <v>TEKEL</v>
          </cell>
          <cell r="C259" t="str">
            <v>ALKOLLÜ İÇKİLER SANAYİ MÜES.</v>
          </cell>
          <cell r="D259" t="str">
            <v xml:space="preserve">       -Alkollü İçkiler Sanayii Müessesesi</v>
          </cell>
          <cell r="E259" t="str">
            <v xml:space="preserve">           -Isparta Başmüdürlüğü</v>
          </cell>
          <cell r="F259" t="str">
            <v xml:space="preserve">           -Isparta Başmüdürlüğü</v>
          </cell>
        </row>
        <row r="260">
          <cell r="A260" t="str">
            <v>1.01.09.00.26.00</v>
          </cell>
          <cell r="B260" t="str">
            <v>TEKEL</v>
          </cell>
          <cell r="C260" t="str">
            <v>ALKOLLÜ İÇKİLER SANAYİ MÜES.</v>
          </cell>
          <cell r="D260" t="str">
            <v xml:space="preserve">       -Alkollü İçkiler Sanayii Müessesesi</v>
          </cell>
          <cell r="E260" t="str">
            <v xml:space="preserve">           -Malatya İsp. Tağyirhanesi</v>
          </cell>
          <cell r="F260" t="str">
            <v xml:space="preserve">           -Malatya İsp. Tağyirhanesi</v>
          </cell>
        </row>
        <row r="261">
          <cell r="A261" t="str">
            <v>1.01.09.00.27.00</v>
          </cell>
          <cell r="B261" t="str">
            <v>TEKEL</v>
          </cell>
          <cell r="C261" t="str">
            <v>ALKOLLÜ İÇKİLER SANAYİ MÜES.</v>
          </cell>
          <cell r="D261" t="str">
            <v xml:space="preserve">       -Alkollü İçkiler Sanayii Müessesesi</v>
          </cell>
          <cell r="E261" t="str">
            <v xml:space="preserve">           -Uşak Başmüdürlüğü</v>
          </cell>
          <cell r="F261" t="str">
            <v xml:space="preserve">           -Uşak Başmüdürlüğü</v>
          </cell>
        </row>
        <row r="262">
          <cell r="A262" t="str">
            <v>1.02.00.00.00.00</v>
          </cell>
          <cell r="B262" t="str">
            <v>TEDAŞ</v>
          </cell>
          <cell r="C262" t="str">
            <v>TEDAŞ TÜRKİYE ELKT.DAĞ. A.Ş.</v>
          </cell>
          <cell r="D262" t="str">
            <v xml:space="preserve">     - GENEL MÜDÜRLÜK</v>
          </cell>
          <cell r="E262" t="str">
            <v xml:space="preserve">     - GENEL MÜDÜRLÜK</v>
          </cell>
          <cell r="F262" t="str">
            <v xml:space="preserve">     - GENEL MÜDÜRLÜK</v>
          </cell>
        </row>
        <row r="263">
          <cell r="A263" t="str">
            <v>1.02.00.01.00.00</v>
          </cell>
          <cell r="B263" t="str">
            <v>TEDAŞ</v>
          </cell>
          <cell r="C263" t="str">
            <v>TEDAŞ TÜRKİYE ELKT.DAĞ. A.Ş.</v>
          </cell>
          <cell r="D263" t="str">
            <v xml:space="preserve">     - ADANA Elektrik Dağıtım Müessesesi</v>
          </cell>
          <cell r="E263" t="str">
            <v xml:space="preserve">     - ADANA Elektrik Dağıtım Müessesesi</v>
          </cell>
          <cell r="F263" t="str">
            <v xml:space="preserve">     - ADANA Elektrik Dağıtım Müessesesi</v>
          </cell>
        </row>
        <row r="264">
          <cell r="A264" t="str">
            <v>1.02.00.02.00.00</v>
          </cell>
          <cell r="B264" t="str">
            <v>TEDAŞ</v>
          </cell>
          <cell r="C264" t="str">
            <v>TEDAŞ TÜRKİYE ELKT.DAĞ. A.Ş.</v>
          </cell>
          <cell r="D264" t="str">
            <v xml:space="preserve">     - ADIYAMAN Elektrik Dağıtım Müessesesi</v>
          </cell>
          <cell r="E264" t="str">
            <v xml:space="preserve">     - ADIYAMAN Elektrik Dağıtım Müessesesi</v>
          </cell>
          <cell r="F264" t="str">
            <v xml:space="preserve">     - ADIYAMAN Elektrik Dağıtım Müessesesi</v>
          </cell>
        </row>
        <row r="265">
          <cell r="A265" t="str">
            <v>1.02.00.03.00.00</v>
          </cell>
          <cell r="B265" t="str">
            <v>TEDAŞ</v>
          </cell>
          <cell r="C265" t="str">
            <v>TEDAŞ TÜRKİYE ELKT.DAĞ. A.Ş.</v>
          </cell>
          <cell r="D265" t="str">
            <v xml:space="preserve">     - AFYON Elektrik Dağıtım Müessesesi</v>
          </cell>
          <cell r="E265" t="str">
            <v xml:space="preserve">     - AFYON Elektrik Dağıtım Müessesesi</v>
          </cell>
          <cell r="F265" t="str">
            <v xml:space="preserve">     - AFYON Elektrik Dağıtım Müessesesi</v>
          </cell>
        </row>
        <row r="266">
          <cell r="A266" t="str">
            <v>1.02.00.04.00.00</v>
          </cell>
          <cell r="B266" t="str">
            <v>TEDAŞ</v>
          </cell>
          <cell r="C266" t="str">
            <v>TEDAŞ TÜRKİYE ELKT.DAĞ. A.Ş.</v>
          </cell>
          <cell r="D266" t="str">
            <v xml:space="preserve">     - AĞRI Elektrik Dağıtım Müessesesi</v>
          </cell>
          <cell r="E266" t="str">
            <v xml:space="preserve">     - AĞRI Elektrik Dağıtım Müessesesi</v>
          </cell>
          <cell r="F266" t="str">
            <v xml:space="preserve">     - AĞRI Elektrik Dağıtım Müessesesi</v>
          </cell>
        </row>
        <row r="267">
          <cell r="A267" t="str">
            <v>1.02.00.05.00.00</v>
          </cell>
          <cell r="B267" t="str">
            <v>TEDAŞ</v>
          </cell>
          <cell r="C267" t="str">
            <v>TEDAŞ TÜRKİYE ELKT.DAĞ. A.Ş.</v>
          </cell>
          <cell r="D267" t="str">
            <v xml:space="preserve">     - AMASYA Elektrik Dağıtım Müessesesi</v>
          </cell>
          <cell r="E267" t="str">
            <v xml:space="preserve">     - AMASYA Elektrik Dağıtım Müessesesi</v>
          </cell>
          <cell r="F267" t="str">
            <v xml:space="preserve">     - AMASYA Elektrik Dağıtım Müessesesi</v>
          </cell>
        </row>
        <row r="268">
          <cell r="A268" t="str">
            <v>1.02.00.07.00.00</v>
          </cell>
          <cell r="B268" t="str">
            <v>TEDAŞ</v>
          </cell>
          <cell r="C268" t="str">
            <v>TEDAŞ TÜRKİYE ELKT.DAĞ. A.Ş.</v>
          </cell>
          <cell r="D268" t="str">
            <v xml:space="preserve">     - ANTALYA Elektrik Dağıtım Müessesesi</v>
          </cell>
          <cell r="E268" t="str">
            <v xml:space="preserve">     - ANTALYA Elektrik Dağıtım Müessesesi</v>
          </cell>
          <cell r="F268" t="str">
            <v xml:space="preserve">     - ANTALYA Elektrik Dağıtım Müessesesi</v>
          </cell>
        </row>
        <row r="269">
          <cell r="A269" t="str">
            <v>1.02.00.08.00.00</v>
          </cell>
          <cell r="B269" t="str">
            <v>TEDAŞ</v>
          </cell>
          <cell r="C269" t="str">
            <v>TEDAŞ TÜRKİYE ELKT.DAĞ. A.Ş.</v>
          </cell>
          <cell r="D269" t="str">
            <v xml:space="preserve">     - ARTVİN Elektrik Dağıtım Müessesesi</v>
          </cell>
          <cell r="E269" t="str">
            <v xml:space="preserve">     - ARTVİN Elektrik Dağıtım Müessesesi</v>
          </cell>
          <cell r="F269" t="str">
            <v xml:space="preserve">     - ARTVİN Elektrik Dağıtım Müessesesi</v>
          </cell>
        </row>
        <row r="270">
          <cell r="A270" t="str">
            <v>1.02.00.09.00.00</v>
          </cell>
          <cell r="B270" t="str">
            <v>TEDAŞ</v>
          </cell>
          <cell r="C270" t="str">
            <v>TEDAŞ TÜRKİYE ELKT.DAĞ. A.Ş.</v>
          </cell>
          <cell r="D270" t="str">
            <v xml:space="preserve">     - AYDIN Elektrik Dağıtım Müessesesi</v>
          </cell>
          <cell r="E270" t="str">
            <v xml:space="preserve">     - AYDIN Elektrik Dağıtım Müessesesi</v>
          </cell>
          <cell r="F270" t="str">
            <v xml:space="preserve">     - AYDIN Elektrik Dağıtım Müessesesi</v>
          </cell>
        </row>
        <row r="271">
          <cell r="A271" t="str">
            <v>1.02.00.10.00.00</v>
          </cell>
          <cell r="B271" t="str">
            <v>TEDAŞ</v>
          </cell>
          <cell r="C271" t="str">
            <v>TEDAŞ TÜRKİYE ELKT.DAĞ. A.Ş.</v>
          </cell>
          <cell r="D271" t="str">
            <v xml:space="preserve">     - BALIKESİR Elektrik Dağıtım Müessesesi</v>
          </cell>
          <cell r="E271" t="str">
            <v xml:space="preserve">     - BALIKESİR Elektrik Dağıtım Müessesesi</v>
          </cell>
          <cell r="F271" t="str">
            <v xml:space="preserve">     - BALIKESİR Elektrik Dağıtım Müessesesi</v>
          </cell>
        </row>
        <row r="272">
          <cell r="A272" t="str">
            <v>1.02.00.11.00.00</v>
          </cell>
          <cell r="B272" t="str">
            <v>TEDAŞ</v>
          </cell>
          <cell r="C272" t="str">
            <v>TEDAŞ TÜRKİYE ELKT.DAĞ. A.Ş.</v>
          </cell>
          <cell r="D272" t="str">
            <v xml:space="preserve">     - BİLECİK Elektrik Dağıtım Müessesesi</v>
          </cell>
          <cell r="E272" t="str">
            <v xml:space="preserve">     - BİLECİK Elektrik Dağıtım Müessesesi</v>
          </cell>
          <cell r="F272" t="str">
            <v xml:space="preserve">     - BİLECİK Elektrik Dağıtım Müessesesi</v>
          </cell>
        </row>
        <row r="273">
          <cell r="A273" t="str">
            <v>1.02.00.12.00.00</v>
          </cell>
          <cell r="B273" t="str">
            <v>TEDAŞ</v>
          </cell>
          <cell r="C273" t="str">
            <v>TEDAŞ TÜRKİYE ELKT.DAĞ. A.Ş.</v>
          </cell>
          <cell r="D273" t="str">
            <v xml:space="preserve">     - BİNGÖL Elektrik Dağıtım Müessesesi</v>
          </cell>
          <cell r="E273" t="str">
            <v xml:space="preserve">     - BİNGÖL Elektrik Dağıtım Müessesesi</v>
          </cell>
          <cell r="F273" t="str">
            <v xml:space="preserve">     - BİNGÖL Elektrik Dağıtım Müessesesi</v>
          </cell>
        </row>
        <row r="274">
          <cell r="A274" t="str">
            <v>1.02.00.13.00.00</v>
          </cell>
          <cell r="B274" t="str">
            <v>TEDAŞ</v>
          </cell>
          <cell r="C274" t="str">
            <v>TEDAŞ TÜRKİYE ELKT.DAĞ. A.Ş.</v>
          </cell>
          <cell r="D274" t="str">
            <v xml:space="preserve">     - BİTLİS Elektrik Dağıtım Müessesesi</v>
          </cell>
          <cell r="E274" t="str">
            <v xml:space="preserve">     - BİTLİS Elektrik Dağıtım Müessesesi</v>
          </cell>
          <cell r="F274" t="str">
            <v xml:space="preserve">     - BİTLİS Elektrik Dağıtım Müessesesi</v>
          </cell>
        </row>
        <row r="275">
          <cell r="A275" t="str">
            <v>1.02.00.15.00.00</v>
          </cell>
          <cell r="B275" t="str">
            <v>TEDAŞ</v>
          </cell>
          <cell r="C275" t="str">
            <v>TEDAŞ TÜRKİYE ELKT.DAĞ. A.Ş.</v>
          </cell>
          <cell r="D275" t="str">
            <v xml:space="preserve">     - BURDUR Elektrik Dağıtım Müessesesi</v>
          </cell>
          <cell r="E275" t="str">
            <v xml:space="preserve">     - BURDUR Elektrik Dağıtım Müessesesi</v>
          </cell>
          <cell r="F275" t="str">
            <v xml:space="preserve">     - BURDUR Elektrik Dağıtım Müessesesi</v>
          </cell>
        </row>
        <row r="276">
          <cell r="A276" t="str">
            <v>1.02.00.16.00.00</v>
          </cell>
          <cell r="B276" t="str">
            <v>TEDAŞ</v>
          </cell>
          <cell r="C276" t="str">
            <v>TEDAŞ TÜRKİYE ELKT.DAĞ. A.Ş.</v>
          </cell>
          <cell r="D276" t="str">
            <v xml:space="preserve">     - BURSA Elektrik Dağıtım Müessesesi</v>
          </cell>
          <cell r="E276" t="str">
            <v xml:space="preserve">     - BURSA Elektrik Dağıtım Müessesesi</v>
          </cell>
          <cell r="F276" t="str">
            <v xml:space="preserve">     - BURSA Elektrik Dağıtım Müessesesi</v>
          </cell>
        </row>
        <row r="277">
          <cell r="A277" t="str">
            <v>1.02.00.17.00.00</v>
          </cell>
          <cell r="B277" t="str">
            <v>TEDAŞ</v>
          </cell>
          <cell r="C277" t="str">
            <v>TEDAŞ TÜRKİYE ELKT.DAĞ. A.Ş.</v>
          </cell>
          <cell r="D277" t="str">
            <v xml:space="preserve">     - ÇANAKKALE Elektrik Dağıtım Müessesesi</v>
          </cell>
          <cell r="E277" t="str">
            <v xml:space="preserve">     - ÇANAKKALE Elektrik Dağıtım Müessesesi</v>
          </cell>
          <cell r="F277" t="str">
            <v xml:space="preserve">     - ÇANAKKALE Elektrik Dağıtım Müessesesi</v>
          </cell>
        </row>
        <row r="278">
          <cell r="A278" t="str">
            <v>1.02.00.19.00.00</v>
          </cell>
          <cell r="B278" t="str">
            <v>TEDAŞ</v>
          </cell>
          <cell r="C278" t="str">
            <v>TEDAŞ TÜRKİYE ELKT.DAĞ. A.Ş.</v>
          </cell>
          <cell r="D278" t="str">
            <v xml:space="preserve">     - ÇORUM Elektrik Dağıtım Müessesesi</v>
          </cell>
          <cell r="E278" t="str">
            <v xml:space="preserve">     - ÇORUM Elektrik Dağıtım Müessesesi</v>
          </cell>
          <cell r="F278" t="str">
            <v xml:space="preserve">     - ÇORUM Elektrik Dağıtım Müessesesi</v>
          </cell>
        </row>
        <row r="279">
          <cell r="A279" t="str">
            <v>1.02.00.20.00.00</v>
          </cell>
          <cell r="B279" t="str">
            <v>TEDAŞ</v>
          </cell>
          <cell r="C279" t="str">
            <v>TEDAŞ TÜRKİYE ELKT.DAĞ. A.Ş.</v>
          </cell>
          <cell r="D279" t="str">
            <v xml:space="preserve">     - DENİZLİ Elektrik Dağıtım Müessesesi</v>
          </cell>
          <cell r="E279" t="str">
            <v xml:space="preserve">     - DENİZLİ Elektrik Dağıtım Müessesesi</v>
          </cell>
          <cell r="F279" t="str">
            <v xml:space="preserve">     - DENİZLİ Elektrik Dağıtım Müessesesi</v>
          </cell>
        </row>
        <row r="280">
          <cell r="A280" t="str">
            <v>1.02.00.21.00.00</v>
          </cell>
          <cell r="B280" t="str">
            <v>TEDAŞ</v>
          </cell>
          <cell r="C280" t="str">
            <v>TEDAŞ TÜRKİYE ELKT.DAĞ. A.Ş.</v>
          </cell>
          <cell r="D280" t="str">
            <v xml:space="preserve">     - DİYARBAKIR Elektrik Dağıtım Müessesesi</v>
          </cell>
          <cell r="E280" t="str">
            <v xml:space="preserve">     - DİYARBAKIR Elektrik Dağıtım Müessesesi</v>
          </cell>
          <cell r="F280" t="str">
            <v xml:space="preserve">     - DİYARBAKIR Elektrik Dağıtım Müessesesi</v>
          </cell>
        </row>
        <row r="281">
          <cell r="A281" t="str">
            <v>1.02.00.23.00.00</v>
          </cell>
          <cell r="B281" t="str">
            <v>TEDAŞ</v>
          </cell>
          <cell r="C281" t="str">
            <v>TEDAŞ TÜRKİYE ELKT.DAĞ. A.Ş.</v>
          </cell>
          <cell r="D281" t="str">
            <v xml:space="preserve">     - ELAZIĞ Elektrik Dağıtım Müessesesi</v>
          </cell>
          <cell r="E281" t="str">
            <v xml:space="preserve">     - ELAZIĞ Elektrik Dağıtım Müessesesi</v>
          </cell>
          <cell r="F281" t="str">
            <v xml:space="preserve">     - ELAZIĞ Elektrik Dağıtım Müessesesi</v>
          </cell>
        </row>
        <row r="282">
          <cell r="A282" t="str">
            <v>1.02.00.24.00.00</v>
          </cell>
          <cell r="B282" t="str">
            <v>TEDAŞ</v>
          </cell>
          <cell r="C282" t="str">
            <v>TEDAŞ TÜRKİYE ELKT.DAĞ. A.Ş.</v>
          </cell>
          <cell r="D282" t="str">
            <v xml:space="preserve">     - ERZİNCAN Elektrik Dağıtım Müessesesi</v>
          </cell>
          <cell r="E282" t="str">
            <v xml:space="preserve">     - ERZİNCAN Elektrik Dağıtım Müessesesi</v>
          </cell>
          <cell r="F282" t="str">
            <v xml:space="preserve">     - ERZİNCAN Elektrik Dağıtım Müessesesi</v>
          </cell>
        </row>
        <row r="283">
          <cell r="A283" t="str">
            <v>1.02.00.25.00.00</v>
          </cell>
          <cell r="B283" t="str">
            <v>TEDAŞ</v>
          </cell>
          <cell r="C283" t="str">
            <v>TEDAŞ TÜRKİYE ELKT.DAĞ. A.Ş.</v>
          </cell>
          <cell r="D283" t="str">
            <v xml:space="preserve">     - ERZURUM Elektrik Dağıtım Müessesesi</v>
          </cell>
          <cell r="E283" t="str">
            <v xml:space="preserve">     - ERZURUM Elektrik Dağıtım Müessesesi</v>
          </cell>
          <cell r="F283" t="str">
            <v xml:space="preserve">     - ERZURUM Elektrik Dağıtım Müessesesi</v>
          </cell>
        </row>
        <row r="284">
          <cell r="A284" t="str">
            <v>1.02.00.26.00.00</v>
          </cell>
          <cell r="B284" t="str">
            <v>TEDAŞ</v>
          </cell>
          <cell r="C284" t="str">
            <v>TEDAŞ TÜRKİYE ELKT.DAĞ. A.Ş.</v>
          </cell>
          <cell r="D284" t="str">
            <v xml:space="preserve">     - ESKİŞEHİR Elektrik Dağıtım Müessesesi</v>
          </cell>
          <cell r="E284" t="str">
            <v xml:space="preserve">     - ESKİŞEHİR Elektrik Dağıtım Müessesesi</v>
          </cell>
          <cell r="F284" t="str">
            <v xml:space="preserve">     - ESKİŞEHİR Elektrik Dağıtım Müessesesi</v>
          </cell>
        </row>
        <row r="285">
          <cell r="A285" t="str">
            <v>1.02.00.27.00.00</v>
          </cell>
          <cell r="B285" t="str">
            <v>TEDAŞ</v>
          </cell>
          <cell r="C285" t="str">
            <v>TEDAŞ TÜRKİYE ELKT.DAĞ. A.Ş.</v>
          </cell>
          <cell r="D285" t="str">
            <v xml:space="preserve">     - GAZİANTEP Elektrik Dağıtım Müessesesi</v>
          </cell>
          <cell r="E285" t="str">
            <v xml:space="preserve">     - GAZİANTEP Elektrik Dağıtım Müessesesi</v>
          </cell>
          <cell r="F285" t="str">
            <v xml:space="preserve">     - GAZİANTEP Elektrik Dağıtım Müessesesi</v>
          </cell>
        </row>
        <row r="286">
          <cell r="A286" t="str">
            <v>1.02.00.28.00.00</v>
          </cell>
          <cell r="B286" t="str">
            <v>TEDAŞ</v>
          </cell>
          <cell r="C286" t="str">
            <v>TEDAŞ TÜRKİYE ELKT.DAĞ. A.Ş.</v>
          </cell>
          <cell r="D286" t="str">
            <v xml:space="preserve">     - GİRESUN Elektrik Dağıtım Müessesesi</v>
          </cell>
          <cell r="E286" t="str">
            <v xml:space="preserve">     - GİRESUN Elektrik Dağıtım Müessesesi</v>
          </cell>
          <cell r="F286" t="str">
            <v xml:space="preserve">     - GİRESUN Elektrik Dağıtım Müessesesi</v>
          </cell>
        </row>
        <row r="287">
          <cell r="A287" t="str">
            <v>1.02.00.29.00.00</v>
          </cell>
          <cell r="B287" t="str">
            <v>TEDAŞ</v>
          </cell>
          <cell r="C287" t="str">
            <v>TEDAŞ TÜRKİYE ELKT.DAĞ. A.Ş.</v>
          </cell>
          <cell r="D287" t="str">
            <v xml:space="preserve">     - GÜMÜŞHANE Elektrik Dağıtım Müessesesi</v>
          </cell>
          <cell r="E287" t="str">
            <v xml:space="preserve">     - GÜMÜŞHANE Elektrik Dağıtım Müessesesi</v>
          </cell>
          <cell r="F287" t="str">
            <v xml:space="preserve">     - GÜMÜŞHANE Elektrik Dağıtım Müessesesi</v>
          </cell>
        </row>
        <row r="288">
          <cell r="A288" t="str">
            <v>1.02.00.30.00.00</v>
          </cell>
          <cell r="B288" t="str">
            <v>TEDAŞ</v>
          </cell>
          <cell r="C288" t="str">
            <v>TEDAŞ TÜRKİYE ELKT.DAĞ. A.Ş.</v>
          </cell>
          <cell r="D288" t="str">
            <v xml:space="preserve">     - HAKKARİ Elektrik Dağıtım Müessesesi</v>
          </cell>
          <cell r="E288" t="str">
            <v xml:space="preserve">     - HAKKARİ Elektrik Dağıtım Müessesesi</v>
          </cell>
          <cell r="F288" t="str">
            <v xml:space="preserve">     - HAKKARİ Elektrik Dağıtım Müessesesi</v>
          </cell>
        </row>
        <row r="289">
          <cell r="A289" t="str">
            <v>1.02.00.31.00.00</v>
          </cell>
          <cell r="B289" t="str">
            <v>TEDAŞ</v>
          </cell>
          <cell r="C289" t="str">
            <v>TEDAŞ TÜRKİYE ELKT.DAĞ. A.Ş.</v>
          </cell>
          <cell r="D289" t="str">
            <v xml:space="preserve">     - HATAY Elektrik Dağıtım Müessesesi</v>
          </cell>
          <cell r="E289" t="str">
            <v xml:space="preserve">     - HATAY Elektrik Dağıtım Müessesesi</v>
          </cell>
          <cell r="F289" t="str">
            <v xml:space="preserve">     - HATAY Elektrik Dağıtım Müessesesi</v>
          </cell>
        </row>
        <row r="290">
          <cell r="A290" t="str">
            <v>1.02.00.32.00.00</v>
          </cell>
          <cell r="B290" t="str">
            <v>TEDAŞ</v>
          </cell>
          <cell r="C290" t="str">
            <v>TEDAŞ TÜRKİYE ELKT.DAĞ. A.Ş.</v>
          </cell>
          <cell r="D290" t="str">
            <v xml:space="preserve">     - ISPARTA Elektrik Dağıtım Müessesesi</v>
          </cell>
          <cell r="E290" t="str">
            <v xml:space="preserve">     - ISPARTA Elektrik Dağıtım Müessesesi</v>
          </cell>
          <cell r="F290" t="str">
            <v xml:space="preserve">     - ISPARTA Elektrik Dağıtım Müessesesi</v>
          </cell>
        </row>
        <row r="291">
          <cell r="A291" t="str">
            <v>1.02.00.33.00.00</v>
          </cell>
          <cell r="B291" t="str">
            <v>TEDAŞ</v>
          </cell>
          <cell r="C291" t="str">
            <v>TEDAŞ TÜRKİYE ELKT.DAĞ. A.Ş.</v>
          </cell>
          <cell r="D291" t="str">
            <v xml:space="preserve">     - MERSİN Elektrik Dağıtım Müessesesi</v>
          </cell>
          <cell r="E291" t="str">
            <v xml:space="preserve">     - MERSİN Elektrik Dağıtım Müessesesi</v>
          </cell>
          <cell r="F291" t="str">
            <v xml:space="preserve">     - MERSİN Elektrik Dağıtım Müessesesi</v>
          </cell>
        </row>
        <row r="292">
          <cell r="A292" t="str">
            <v>1.02.00.34.00.00</v>
          </cell>
          <cell r="B292" t="str">
            <v>TEDAŞ</v>
          </cell>
          <cell r="C292" t="str">
            <v>TEDAŞ TÜRKİYE ELKT.DAĞ. A.Ş.</v>
          </cell>
          <cell r="D292" t="str">
            <v xml:space="preserve">     - İSTANBUL ANADOLU YAKASI Elektrik Dağıtım Müessesesi</v>
          </cell>
          <cell r="E292" t="str">
            <v xml:space="preserve">     - İSTANBUL ANADOLU YAKASI Elektrik Dağıtım Müessesesi</v>
          </cell>
          <cell r="F292" t="str">
            <v xml:space="preserve">     - İSTANBUL ANADOLU YAKASI Elektrik Dağıtım Müessesesi</v>
          </cell>
        </row>
        <row r="293">
          <cell r="A293" t="str">
            <v>1.02.00.35.00.00</v>
          </cell>
          <cell r="B293" t="str">
            <v>TEDAŞ</v>
          </cell>
          <cell r="C293" t="str">
            <v>TEDAŞ TÜRKİYE ELKT.DAĞ. A.Ş.</v>
          </cell>
          <cell r="D293" t="str">
            <v xml:space="preserve">     - İZMİR Elektrik Dağıtım Müessesesi</v>
          </cell>
          <cell r="E293" t="str">
            <v xml:space="preserve">     - İZMİR Elektrik Dağıtım Müessesesi</v>
          </cell>
          <cell r="F293" t="str">
            <v xml:space="preserve">     - İZMİR Elektrik Dağıtım Müessesesi</v>
          </cell>
        </row>
        <row r="294">
          <cell r="A294" t="str">
            <v>1.02.00.36.00.00</v>
          </cell>
          <cell r="B294" t="str">
            <v>TEDAŞ</v>
          </cell>
          <cell r="C294" t="str">
            <v>TEDAŞ TÜRKİYE ELKT.DAĞ. A.Ş.</v>
          </cell>
          <cell r="D294" t="str">
            <v xml:space="preserve">     - KARS Elektrik Dağıtım Müessesesi</v>
          </cell>
          <cell r="E294" t="str">
            <v xml:space="preserve">     - KARS Elektrik Dağıtım Müessesesi</v>
          </cell>
          <cell r="F294" t="str">
            <v xml:space="preserve">     - KARS Elektrik Dağıtım Müessesesi</v>
          </cell>
        </row>
        <row r="295">
          <cell r="A295" t="str">
            <v>1.02.00.37.00.00</v>
          </cell>
          <cell r="B295" t="str">
            <v>TEDAŞ</v>
          </cell>
          <cell r="C295" t="str">
            <v>TEDAŞ TÜRKİYE ELKT.DAĞ. A.Ş.</v>
          </cell>
          <cell r="D295" t="str">
            <v xml:space="preserve">     - KASTAMONU Elektrik Dağıtım Müessesesi</v>
          </cell>
          <cell r="E295" t="str">
            <v xml:space="preserve">     - KASTAMONU Elektrik Dağıtım Müessesesi</v>
          </cell>
          <cell r="F295" t="str">
            <v xml:space="preserve">     - KASTAMONU Elektrik Dağıtım Müessesesi</v>
          </cell>
        </row>
        <row r="296">
          <cell r="A296" t="str">
            <v>1.02.00.40.00.00</v>
          </cell>
          <cell r="B296" t="str">
            <v>TEDAŞ</v>
          </cell>
          <cell r="C296" t="str">
            <v>TEDAŞ TÜRKİYE ELKT.DAĞ. A.Ş.</v>
          </cell>
          <cell r="D296" t="str">
            <v xml:space="preserve">     - KIRŞEHİR Elektrik Dağıtım Müessesesi</v>
          </cell>
          <cell r="E296" t="str">
            <v xml:space="preserve">     - KIRŞEHİR Elektrik Dağıtım Müessesesi</v>
          </cell>
          <cell r="F296" t="str">
            <v xml:space="preserve">     - KIRŞEHİR Elektrik Dağıtım Müessesesi</v>
          </cell>
        </row>
        <row r="297">
          <cell r="A297" t="str">
            <v>1.02.00.43.00.00</v>
          </cell>
          <cell r="B297" t="str">
            <v>TEDAŞ</v>
          </cell>
          <cell r="C297" t="str">
            <v>TEDAŞ TÜRKİYE ELKT.DAĞ. A.Ş.</v>
          </cell>
          <cell r="D297" t="str">
            <v xml:space="preserve">     - KÜTAHYA Elektrik Dağıtım Müessesesi</v>
          </cell>
          <cell r="E297" t="str">
            <v xml:space="preserve">     - KÜTAHYA Elektrik Dağıtım Müessesesi</v>
          </cell>
          <cell r="F297" t="str">
            <v xml:space="preserve">     - KÜTAHYA Elektrik Dağıtım Müessesesi</v>
          </cell>
        </row>
        <row r="298">
          <cell r="A298" t="str">
            <v>1.02.00.44.00.00</v>
          </cell>
          <cell r="B298" t="str">
            <v>TEDAŞ</v>
          </cell>
          <cell r="C298" t="str">
            <v>TEDAŞ TÜRKİYE ELKT.DAĞ. A.Ş.</v>
          </cell>
          <cell r="D298" t="str">
            <v xml:space="preserve">     - MALATYA Elektrik Dağıtım Müessesesi</v>
          </cell>
          <cell r="E298" t="str">
            <v xml:space="preserve">     - MALATYA Elektrik Dağıtım Müessesesi</v>
          </cell>
          <cell r="F298" t="str">
            <v xml:space="preserve">     - MALATYA Elektrik Dağıtım Müessesesi</v>
          </cell>
        </row>
        <row r="299">
          <cell r="A299" t="str">
            <v>1.02.00.45.00.00</v>
          </cell>
          <cell r="B299" t="str">
            <v>TEDAŞ</v>
          </cell>
          <cell r="C299" t="str">
            <v>TEDAŞ TÜRKİYE ELKT.DAĞ. A.Ş.</v>
          </cell>
          <cell r="D299" t="str">
            <v xml:space="preserve">     - MANİSA Elektrik Dağıtım Müessesesi</v>
          </cell>
          <cell r="E299" t="str">
            <v xml:space="preserve">     - MANİSA Elektrik Dağıtım Müessesesi</v>
          </cell>
          <cell r="F299" t="str">
            <v xml:space="preserve">     - MANİSA Elektrik Dağıtım Müessesesi</v>
          </cell>
        </row>
        <row r="300">
          <cell r="A300" t="str">
            <v>1.02.00.46.00.00</v>
          </cell>
          <cell r="B300" t="str">
            <v>TEDAŞ</v>
          </cell>
          <cell r="C300" t="str">
            <v>TEDAŞ TÜRKİYE ELKT.DAĞ. A.Ş.</v>
          </cell>
          <cell r="D300" t="str">
            <v xml:space="preserve">     - KAHRAMANMARAŞ Elektrik Dağıtım Müessesesi</v>
          </cell>
          <cell r="E300" t="str">
            <v xml:space="preserve">     - KAHRAMANMARAŞ Elektrik Dağıtım Müessesesi</v>
          </cell>
          <cell r="F300" t="str">
            <v xml:space="preserve">     - KAHRAMANMARAŞ Elektrik Dağıtım Müessesesi</v>
          </cell>
        </row>
        <row r="301">
          <cell r="A301" t="str">
            <v>1.02.00.47.00.00</v>
          </cell>
          <cell r="B301" t="str">
            <v>TEDAŞ</v>
          </cell>
          <cell r="C301" t="str">
            <v>TEDAŞ TÜRKİYE ELKT.DAĞ. A.Ş.</v>
          </cell>
          <cell r="D301" t="str">
            <v xml:space="preserve">     - MARDİN Elektrik Dağıtım Müessesesi</v>
          </cell>
          <cell r="E301" t="str">
            <v xml:space="preserve">     - MARDİN Elektrik Dağıtım Müessesesi</v>
          </cell>
          <cell r="F301" t="str">
            <v xml:space="preserve">     - MARDİN Elektrik Dağıtım Müessesesi</v>
          </cell>
        </row>
        <row r="302">
          <cell r="A302" t="str">
            <v>1.02.00.48.00.00</v>
          </cell>
          <cell r="B302" t="str">
            <v>TEDAŞ</v>
          </cell>
          <cell r="C302" t="str">
            <v>TEDAŞ TÜRKİYE ELKT.DAĞ. A.Ş.</v>
          </cell>
          <cell r="D302" t="str">
            <v xml:space="preserve">     - MUĞLA Elektrik Dağıtım Müessesesi</v>
          </cell>
          <cell r="E302" t="str">
            <v xml:space="preserve">     - MUĞLA Elektrik Dağıtım Müessesesi</v>
          </cell>
          <cell r="F302" t="str">
            <v xml:space="preserve">     - MUĞLA Elektrik Dağıtım Müessesesi</v>
          </cell>
        </row>
        <row r="303">
          <cell r="A303" t="str">
            <v>1.02.00.49.00.00</v>
          </cell>
          <cell r="B303" t="str">
            <v>TEDAŞ</v>
          </cell>
          <cell r="C303" t="str">
            <v>TEDAŞ TÜRKİYE ELKT.DAĞ. A.Ş.</v>
          </cell>
          <cell r="D303" t="str">
            <v xml:space="preserve">     - MUŞ Elektrik Dağıtım Müessesesi</v>
          </cell>
          <cell r="E303" t="str">
            <v xml:space="preserve">     - MUŞ Elektrik Dağıtım Müessesesi</v>
          </cell>
          <cell r="F303" t="str">
            <v xml:space="preserve">     - MUŞ Elektrik Dağıtım Müessesesi</v>
          </cell>
        </row>
        <row r="304">
          <cell r="A304" t="str">
            <v>1.02.00.50.00.00</v>
          </cell>
          <cell r="B304" t="str">
            <v>TEDAŞ</v>
          </cell>
          <cell r="C304" t="str">
            <v>TEDAŞ TÜRKİYE ELKT.DAĞ. A.Ş.</v>
          </cell>
          <cell r="D304" t="str">
            <v xml:space="preserve">     - NEVŞEHİR Elektrik Dağıtım Müessesesi</v>
          </cell>
          <cell r="E304" t="str">
            <v xml:space="preserve">     - NEVŞEHİR Elektrik Dağıtım Müessesesi</v>
          </cell>
          <cell r="F304" t="str">
            <v xml:space="preserve">     - NEVŞEHİR Elektrik Dağıtım Müessesesi</v>
          </cell>
        </row>
        <row r="305">
          <cell r="A305" t="str">
            <v>1.02.00.51.00.00</v>
          </cell>
          <cell r="B305" t="str">
            <v>TEDAŞ</v>
          </cell>
          <cell r="C305" t="str">
            <v>TEDAŞ TÜRKİYE ELKT.DAĞ. A.Ş.</v>
          </cell>
          <cell r="D305" t="str">
            <v xml:space="preserve">     - NİĞDE Elektrik Dağıtım Müessesesi</v>
          </cell>
          <cell r="E305" t="str">
            <v xml:space="preserve">     - NİĞDE Elektrik Dağıtım Müessesesi</v>
          </cell>
          <cell r="F305" t="str">
            <v xml:space="preserve">     - NİĞDE Elektrik Dağıtım Müessesesi</v>
          </cell>
        </row>
        <row r="306">
          <cell r="A306" t="str">
            <v>1.02.00.52.00.00</v>
          </cell>
          <cell r="B306" t="str">
            <v>TEDAŞ</v>
          </cell>
          <cell r="C306" t="str">
            <v>TEDAŞ TÜRKİYE ELKT.DAĞ. A.Ş.</v>
          </cell>
          <cell r="D306" t="str">
            <v xml:space="preserve">     - ORDU Elektrik Dağıtım Müessesesi</v>
          </cell>
          <cell r="E306" t="str">
            <v xml:space="preserve">     - ORDU Elektrik Dağıtım Müessesesi</v>
          </cell>
          <cell r="F306" t="str">
            <v xml:space="preserve">     - ORDU Elektrik Dağıtım Müessesesi</v>
          </cell>
        </row>
        <row r="307">
          <cell r="A307" t="str">
            <v>1.02.00.53.00.00</v>
          </cell>
          <cell r="B307" t="str">
            <v>TEDAŞ</v>
          </cell>
          <cell r="C307" t="str">
            <v>TEDAŞ TÜRKİYE ELKT.DAĞ. A.Ş.</v>
          </cell>
          <cell r="D307" t="str">
            <v xml:space="preserve">     - RİZE Elektrik Dağıtım Müessesesi</v>
          </cell>
          <cell r="E307" t="str">
            <v xml:space="preserve">     - RİZE Elektrik Dağıtım Müessesesi</v>
          </cell>
          <cell r="F307" t="str">
            <v xml:space="preserve">     - RİZE Elektrik Dağıtım Müessesesi</v>
          </cell>
        </row>
        <row r="308">
          <cell r="A308" t="str">
            <v>1.02.00.55.00.00</v>
          </cell>
          <cell r="B308" t="str">
            <v>TEDAŞ</v>
          </cell>
          <cell r="C308" t="str">
            <v>TEDAŞ TÜRKİYE ELKT.DAĞ. A.Ş.</v>
          </cell>
          <cell r="D308" t="str">
            <v xml:space="preserve">     - SAMSUN Elektrik Dağıtım Müessesesi</v>
          </cell>
          <cell r="E308" t="str">
            <v xml:space="preserve">     - SAMSUN Elektrik Dağıtım Müessesesi</v>
          </cell>
          <cell r="F308" t="str">
            <v xml:space="preserve">     - SAMSUN Elektrik Dağıtım Müessesesi</v>
          </cell>
        </row>
        <row r="309">
          <cell r="A309" t="str">
            <v>1.02.00.56.00.00</v>
          </cell>
          <cell r="B309" t="str">
            <v>TEDAŞ</v>
          </cell>
          <cell r="C309" t="str">
            <v>TEDAŞ TÜRKİYE ELKT.DAĞ. A.Ş.</v>
          </cell>
          <cell r="D309" t="str">
            <v xml:space="preserve">     - SİİRT Elektrik Dağıtım Müessesesi</v>
          </cell>
          <cell r="E309" t="str">
            <v xml:space="preserve">     - SİİRT Elektrik Dağıtım Müessesesi</v>
          </cell>
          <cell r="F309" t="str">
            <v xml:space="preserve">     - SİİRT Elektrik Dağıtım Müessesesi</v>
          </cell>
        </row>
        <row r="310">
          <cell r="A310" t="str">
            <v>1.02.00.57.00.00</v>
          </cell>
          <cell r="B310" t="str">
            <v>TEDAŞ</v>
          </cell>
          <cell r="C310" t="str">
            <v>TEDAŞ TÜRKİYE ELKT.DAĞ. A.Ş.</v>
          </cell>
          <cell r="D310" t="str">
            <v xml:space="preserve">     - SİNOP Elektrik Dağıtım Müessesesi</v>
          </cell>
          <cell r="E310" t="str">
            <v xml:space="preserve">     - SİNOP Elektrik Dağıtım Müessesesi</v>
          </cell>
          <cell r="F310" t="str">
            <v xml:space="preserve">     - SİNOP Elektrik Dağıtım Müessesesi</v>
          </cell>
        </row>
        <row r="311">
          <cell r="A311" t="str">
            <v>1.02.00.58.00.00</v>
          </cell>
          <cell r="B311" t="str">
            <v>TEDAŞ</v>
          </cell>
          <cell r="C311" t="str">
            <v>TEDAŞ TÜRKİYE ELKT.DAĞ. A.Ş.</v>
          </cell>
          <cell r="D311" t="str">
            <v xml:space="preserve">     - SİVAS Elektrik Dağıtım Müessesesi</v>
          </cell>
          <cell r="E311" t="str">
            <v xml:space="preserve">     - SİVAS Elektrik Dağıtım Müessesesi</v>
          </cell>
          <cell r="F311" t="str">
            <v xml:space="preserve">     - SİVAS Elektrik Dağıtım Müessesesi</v>
          </cell>
        </row>
        <row r="312">
          <cell r="A312" t="str">
            <v>1.02.00.60.00.00</v>
          </cell>
          <cell r="B312" t="str">
            <v>TEDAŞ</v>
          </cell>
          <cell r="C312" t="str">
            <v>TEDAŞ TÜRKİYE ELKT.DAĞ. A.Ş.</v>
          </cell>
          <cell r="D312" t="str">
            <v xml:space="preserve">     - TOKAT Elektrik Dağıtım Müessesesi</v>
          </cell>
          <cell r="E312" t="str">
            <v xml:space="preserve">     - TOKAT Elektrik Dağıtım Müessesesi</v>
          </cell>
          <cell r="F312" t="str">
            <v xml:space="preserve">     - TOKAT Elektrik Dağıtım Müessesesi</v>
          </cell>
        </row>
        <row r="313">
          <cell r="A313" t="str">
            <v>1.02.00.61.00.00</v>
          </cell>
          <cell r="B313" t="str">
            <v>TEDAŞ</v>
          </cell>
          <cell r="C313" t="str">
            <v>TEDAŞ TÜRKİYE ELKT.DAĞ. A.Ş.</v>
          </cell>
          <cell r="D313" t="str">
            <v xml:space="preserve">     - TRABZON Elektrik Dağıtım Müessesesi</v>
          </cell>
          <cell r="E313" t="str">
            <v xml:space="preserve">     - TRABZON Elektrik Dağıtım Müessesesi</v>
          </cell>
          <cell r="F313" t="str">
            <v xml:space="preserve">     - TRABZON Elektrik Dağıtım Müessesesi</v>
          </cell>
        </row>
        <row r="314">
          <cell r="A314" t="str">
            <v>1.02.00.62.00.00</v>
          </cell>
          <cell r="B314" t="str">
            <v>TEDAŞ</v>
          </cell>
          <cell r="C314" t="str">
            <v>TEDAŞ TÜRKİYE ELKT.DAĞ. A.Ş.</v>
          </cell>
          <cell r="D314" t="str">
            <v xml:space="preserve">     - TUNCELİ Elektrik Dağıtım Müessesesi</v>
          </cell>
          <cell r="E314" t="str">
            <v xml:space="preserve">     - TUNCELİ Elektrik Dağıtım Müessesesi</v>
          </cell>
          <cell r="F314" t="str">
            <v xml:space="preserve">     - TUNCELİ Elektrik Dağıtım Müessesesi</v>
          </cell>
        </row>
        <row r="315">
          <cell r="A315" t="str">
            <v>1.02.00.63.00.00</v>
          </cell>
          <cell r="B315" t="str">
            <v>TEDAŞ</v>
          </cell>
          <cell r="C315" t="str">
            <v>TEDAŞ TÜRKİYE ELKT.DAĞ. A.Ş.</v>
          </cell>
          <cell r="D315" t="str">
            <v xml:space="preserve">     - ŞANLIURFA Elektrik Dağıtım Müessesesi</v>
          </cell>
          <cell r="E315" t="str">
            <v xml:space="preserve">     - ŞANLIURFA Elektrik Dağıtım Müessesesi</v>
          </cell>
          <cell r="F315" t="str">
            <v xml:space="preserve">     - ŞANLIURFA Elektrik Dağıtım Müessesesi</v>
          </cell>
        </row>
        <row r="316">
          <cell r="A316" t="str">
            <v>1.02.00.64.00.00</v>
          </cell>
          <cell r="B316" t="str">
            <v>TEDAŞ</v>
          </cell>
          <cell r="C316" t="str">
            <v>TEDAŞ TÜRKİYE ELKT.DAĞ. A.Ş.</v>
          </cell>
          <cell r="D316" t="str">
            <v xml:space="preserve">     - UŞAK Elektrik Dağıtım Müessesesi</v>
          </cell>
          <cell r="E316" t="str">
            <v xml:space="preserve">     - UŞAK Elektrik Dağıtım Müessesesi</v>
          </cell>
          <cell r="F316" t="str">
            <v xml:space="preserve">     - UŞAK Elektrik Dağıtım Müessesesi</v>
          </cell>
        </row>
        <row r="317">
          <cell r="A317" t="str">
            <v>1.02.00.65.00.00</v>
          </cell>
          <cell r="B317" t="str">
            <v>TEDAŞ</v>
          </cell>
          <cell r="C317" t="str">
            <v>TEDAŞ TÜRKİYE ELKT.DAĞ. A.Ş.</v>
          </cell>
          <cell r="D317" t="str">
            <v xml:space="preserve">     - VAN Elektrik Dağıtım Müessesesi</v>
          </cell>
          <cell r="E317" t="str">
            <v xml:space="preserve">     - VAN Elektrik Dağıtım Müessesesi</v>
          </cell>
          <cell r="F317" t="str">
            <v xml:space="preserve">     - VAN Elektrik Dağıtım Müessesesi</v>
          </cell>
        </row>
        <row r="318">
          <cell r="A318" t="str">
            <v>1.02.00.66.00.00</v>
          </cell>
          <cell r="B318" t="str">
            <v>TEDAŞ</v>
          </cell>
          <cell r="C318" t="str">
            <v>TEDAŞ TÜRKİYE ELKT.DAĞ. A.Ş.</v>
          </cell>
          <cell r="D318" t="str">
            <v xml:space="preserve">     - YOZGAT Elektrik Dağıtım Müessesesi</v>
          </cell>
          <cell r="E318" t="str">
            <v xml:space="preserve">     - YOZGAT Elektrik Dağıtım Müessesesi</v>
          </cell>
          <cell r="F318" t="str">
            <v xml:space="preserve">     - YOZGAT Elektrik Dağıtım Müessesesi</v>
          </cell>
        </row>
        <row r="319">
          <cell r="A319" t="str">
            <v>1.02.00.68.00.00</v>
          </cell>
          <cell r="B319" t="str">
            <v>TEDAŞ</v>
          </cell>
          <cell r="C319" t="str">
            <v>TEDAŞ TÜRKİYE ELKT.DAĞ. A.Ş.</v>
          </cell>
          <cell r="D319" t="str">
            <v xml:space="preserve">     - AKSARAY Elektrik Dağıtım Müessesesi</v>
          </cell>
          <cell r="E319" t="str">
            <v xml:space="preserve">     - AKSARAY Elektrik Dağıtım Müessesesi</v>
          </cell>
          <cell r="F319" t="str">
            <v xml:space="preserve">     - AKSARAY Elektrik Dağıtım Müessesesi</v>
          </cell>
        </row>
        <row r="320">
          <cell r="A320" t="str">
            <v>1.02.00.69.00.00</v>
          </cell>
          <cell r="B320" t="str">
            <v>TEDAŞ</v>
          </cell>
          <cell r="C320" t="str">
            <v>TEDAŞ TÜRKİYE ELKT.DAĞ. A.Ş.</v>
          </cell>
          <cell r="D320" t="str">
            <v xml:space="preserve">     - BAYBURT Elektrik Dağıtım Müessesesi</v>
          </cell>
          <cell r="E320" t="str">
            <v xml:space="preserve">     - BAYBURT Elektrik Dağıtım Müessesesi</v>
          </cell>
          <cell r="F320" t="str">
            <v xml:space="preserve">     - BAYBURT Elektrik Dağıtım Müessesesi</v>
          </cell>
        </row>
        <row r="321">
          <cell r="A321" t="str">
            <v>1.02.00.72.00.00</v>
          </cell>
          <cell r="B321" t="str">
            <v>TEDAŞ</v>
          </cell>
          <cell r="C321" t="str">
            <v>TEDAŞ TÜRKİYE ELKT.DAĞ. A.Ş.</v>
          </cell>
          <cell r="D321" t="str">
            <v xml:space="preserve">     - BATMAN Elektrik Dağıtım Müessesesi</v>
          </cell>
          <cell r="E321" t="str">
            <v xml:space="preserve">     - BATMAN Elektrik Dağıtım Müessesesi</v>
          </cell>
          <cell r="F321" t="str">
            <v xml:space="preserve">     - BATMAN Elektrik Dağıtım Müessesesi</v>
          </cell>
        </row>
        <row r="322">
          <cell r="A322" t="str">
            <v>1.02.00.73.00.00</v>
          </cell>
          <cell r="B322" t="str">
            <v>TEDAŞ</v>
          </cell>
          <cell r="C322" t="str">
            <v>TEDAŞ TÜRKİYE ELKT.DAĞ. A.Ş.</v>
          </cell>
          <cell r="D322" t="str">
            <v xml:space="preserve">     - ŞIRNAK Elektrik Dağıtım Müessesesi</v>
          </cell>
          <cell r="E322" t="str">
            <v xml:space="preserve">     - ŞIRNAK Elektrik Dağıtım Müessesesi</v>
          </cell>
          <cell r="F322" t="str">
            <v xml:space="preserve">     - ŞIRNAK Elektrik Dağıtım Müessesesi</v>
          </cell>
        </row>
        <row r="323">
          <cell r="A323" t="str">
            <v>1.02.00.75.00.00</v>
          </cell>
          <cell r="B323" t="str">
            <v>TEDAŞ</v>
          </cell>
          <cell r="C323" t="str">
            <v>TEDAŞ TÜRKİYE ELKT.DAĞ. A.Ş.</v>
          </cell>
          <cell r="D323" t="str">
            <v xml:space="preserve">     - ARDAHAN Elektrik Dağıtım Müessesesi</v>
          </cell>
          <cell r="E323" t="str">
            <v xml:space="preserve">     - ARDAHAN Elektrik Dağıtım Müessesesi</v>
          </cell>
          <cell r="F323" t="str">
            <v xml:space="preserve">     - ARDAHAN Elektrik Dağıtım Müessesesi</v>
          </cell>
        </row>
        <row r="324">
          <cell r="A324" t="str">
            <v>1.02.00.76.00.00</v>
          </cell>
          <cell r="B324" t="str">
            <v>TEDAŞ</v>
          </cell>
          <cell r="C324" t="str">
            <v>TEDAŞ TÜRKİYE ELKT.DAĞ. A.Ş.</v>
          </cell>
          <cell r="D324" t="str">
            <v xml:space="preserve">     - IĞDIR Elektrik Dağıtım Müessesesi</v>
          </cell>
          <cell r="E324" t="str">
            <v xml:space="preserve">     - IĞDIR Elektrik Dağıtım Müessesesi</v>
          </cell>
          <cell r="F324" t="str">
            <v xml:space="preserve">     - IĞDIR Elektrik Dağıtım Müessesesi</v>
          </cell>
        </row>
        <row r="325">
          <cell r="A325" t="str">
            <v>1.02.00.77.00.00</v>
          </cell>
          <cell r="B325" t="str">
            <v>TEDAŞ</v>
          </cell>
          <cell r="C325" t="str">
            <v>TEDAŞ TÜRKİYE ELKT.DAĞ. A.Ş.</v>
          </cell>
          <cell r="D325" t="str">
            <v xml:space="preserve">     - YALOVA Elektrik Dağıtım Müessesesi</v>
          </cell>
          <cell r="E325" t="str">
            <v xml:space="preserve">     - YALOVA Elektrik Dağıtım Müessesesi</v>
          </cell>
          <cell r="F325" t="str">
            <v xml:space="preserve">     - YALOVA Elektrik Dağıtım Müessesesi</v>
          </cell>
        </row>
        <row r="326">
          <cell r="A326" t="str">
            <v>1.02.00.79.00.00</v>
          </cell>
          <cell r="B326" t="str">
            <v>TEDAŞ</v>
          </cell>
          <cell r="C326" t="str">
            <v>TEDAŞ TÜRKİYE ELKT.DAĞ. A.Ş.</v>
          </cell>
          <cell r="D326" t="str">
            <v xml:space="preserve">     - KİLİS Elektrik Dağıtım Müessesesi</v>
          </cell>
          <cell r="E326" t="str">
            <v xml:space="preserve">     - KİLİS Elektrik Dağıtım Müessesesi</v>
          </cell>
          <cell r="F326" t="str">
            <v xml:space="preserve">     - KİLİS Elektrik Dağıtım Müessesesi</v>
          </cell>
        </row>
        <row r="327">
          <cell r="A327" t="str">
            <v>1.02.00.80.00.00</v>
          </cell>
          <cell r="B327" t="str">
            <v>TEDAŞ</v>
          </cell>
          <cell r="C327" t="str">
            <v>TEDAŞ TÜRKİYE ELKT.DAĞ. A.Ş.</v>
          </cell>
          <cell r="D327" t="str">
            <v xml:space="preserve">     - OSMANİYE Elektrik Dağıtım Müessesesi</v>
          </cell>
          <cell r="E327" t="str">
            <v xml:space="preserve">     - OSMANİYE Elektrik Dağıtım Müessesesi</v>
          </cell>
          <cell r="F327" t="str">
            <v xml:space="preserve">     - OSMANİYE Elektrik Dağıtım Müessesesi</v>
          </cell>
        </row>
        <row r="328">
          <cell r="A328" t="str">
            <v>1.02.01.00.00.00</v>
          </cell>
          <cell r="B328" t="str">
            <v>TEDAŞ</v>
          </cell>
          <cell r="C328" t="str">
            <v xml:space="preserve">     - BAŞKENT Elektrik Dağıtım A.Ş.</v>
          </cell>
          <cell r="D328" t="str">
            <v xml:space="preserve">     - BAŞKENT Elektrik Dağıtım A.Ş.</v>
          </cell>
          <cell r="E328" t="str">
            <v xml:space="preserve">     - BAŞKENT Elektrik Dağıtım A.Ş.</v>
          </cell>
          <cell r="F328" t="str">
            <v xml:space="preserve">     - BAŞKENT Elektrik Dağıtım A.Ş.</v>
          </cell>
        </row>
        <row r="329">
          <cell r="A329" t="str">
            <v>1.02.04.00.00.00</v>
          </cell>
          <cell r="B329" t="str">
            <v>TEDAŞ</v>
          </cell>
          <cell r="C329" t="str">
            <v xml:space="preserve">     - KÖRFEZ Elektrik Dağıtım A.Ş.</v>
          </cell>
          <cell r="D329" t="str">
            <v xml:space="preserve">     - KÖRFEZ Elektrik Dağıtım A.Ş.</v>
          </cell>
          <cell r="E329" t="str">
            <v xml:space="preserve">     - KÖRFEZ Elektrik Dağıtım A.Ş.</v>
          </cell>
          <cell r="F329" t="str">
            <v xml:space="preserve">     - KÖRFEZ Elektrik Dağıtım A.Ş.</v>
          </cell>
        </row>
        <row r="330">
          <cell r="A330" t="str">
            <v>1.02.03.00.00.00</v>
          </cell>
          <cell r="B330" t="str">
            <v>TEDAŞ</v>
          </cell>
          <cell r="C330" t="str">
            <v xml:space="preserve">     - KARAELMAS Elektrik Dağıtım A.Ş.</v>
          </cell>
          <cell r="D330" t="str">
            <v xml:space="preserve">     - KARAELMAS Elektrik Dağıtım A.Ş.</v>
          </cell>
          <cell r="E330" t="str">
            <v xml:space="preserve">     - KARAELMAS Elektrik Dağıtım A.Ş.</v>
          </cell>
          <cell r="F330" t="str">
            <v xml:space="preserve">     - KARAELMAS Elektrik Dağıtım A.Ş.</v>
          </cell>
        </row>
        <row r="331">
          <cell r="A331" t="str">
            <v>1.02.02.00.00.00</v>
          </cell>
          <cell r="B331" t="str">
            <v>TEDAŞ</v>
          </cell>
          <cell r="C331" t="str">
            <v xml:space="preserve">     - BOĞAZİÇİ Elektrik Dağıtım A.Ş.</v>
          </cell>
          <cell r="D331" t="str">
            <v xml:space="preserve">     - BOĞAZİÇİ Elektrik Dağıtım A.Ş.</v>
          </cell>
          <cell r="E331" t="str">
            <v xml:space="preserve">     - BOĞAZİÇİ Elektrik Dağıtım A.Ş.</v>
          </cell>
          <cell r="F331" t="str">
            <v xml:space="preserve">     - BOĞAZİÇİ Elektrik Dağıtım A.Ş.</v>
          </cell>
        </row>
        <row r="332">
          <cell r="A332" t="str">
            <v>1.02.06.00.00.00</v>
          </cell>
          <cell r="B332" t="str">
            <v>TEDAŞ</v>
          </cell>
          <cell r="C332" t="str">
            <v xml:space="preserve">     - SAKARYA Elektrik Dağıtım A.Ş.</v>
          </cell>
          <cell r="D332" t="str">
            <v xml:space="preserve">     - SAKARYA Elektrik Dağıtım A.Ş.</v>
          </cell>
          <cell r="E332" t="str">
            <v xml:space="preserve">     - SAKARYA Elektrik Dağıtım A.Ş.</v>
          </cell>
          <cell r="F332" t="str">
            <v xml:space="preserve">     - SAKARYA Elektrik Dağıtım A.Ş.</v>
          </cell>
        </row>
        <row r="333">
          <cell r="A333" t="str">
            <v>1.02.05.00.00.00</v>
          </cell>
          <cell r="B333" t="str">
            <v>TEDAŞ</v>
          </cell>
          <cell r="C333" t="str">
            <v xml:space="preserve">     - MERAM Elektrik Dağıtım A.Ş.</v>
          </cell>
          <cell r="D333" t="str">
            <v xml:space="preserve">     - MERAM Elektrik Dağıtım A.Ş.</v>
          </cell>
          <cell r="E333" t="str">
            <v xml:space="preserve">     - MERAM Elektrik Dağıtım A.Ş.</v>
          </cell>
          <cell r="F333" t="str">
            <v xml:space="preserve">     - MERAM Elektrik Dağıtım A.Ş.</v>
          </cell>
        </row>
        <row r="334">
          <cell r="A334" t="str">
            <v>1.02.07.00.00.00</v>
          </cell>
          <cell r="B334" t="str">
            <v>TEDAŞ</v>
          </cell>
          <cell r="C334" t="str">
            <v xml:space="preserve">     - TRAKYA Elektrik Dağıtım A.Ş.</v>
          </cell>
          <cell r="D334" t="str">
            <v xml:space="preserve">     - TRAKYA Elektrik Dağıtım A.Ş.</v>
          </cell>
          <cell r="E334" t="str">
            <v xml:space="preserve">     - TRAKYA Elektrik Dağıtım A.Ş.</v>
          </cell>
          <cell r="F334" t="str">
            <v xml:space="preserve">     - TRAKYA Elektrik Dağıtım A.Ş.</v>
          </cell>
        </row>
        <row r="335">
          <cell r="A335" t="str">
            <v>1.03.00.00.00.00</v>
          </cell>
          <cell r="B335" t="str">
            <v>TDİ</v>
          </cell>
          <cell r="C335" t="str">
            <v>TÜRKİYE DENİZCİLİK İŞL. A.Ş.</v>
          </cell>
          <cell r="D335" t="str">
            <v xml:space="preserve">        -Genel Müdürlük</v>
          </cell>
          <cell r="E335" t="str">
            <v xml:space="preserve">        -Genel Müdürlük</v>
          </cell>
          <cell r="F335" t="str">
            <v xml:space="preserve">        -Genel Müdürlük</v>
          </cell>
        </row>
        <row r="336">
          <cell r="A336" t="str">
            <v>1.03.00.04.00.00</v>
          </cell>
          <cell r="B336" t="str">
            <v>TDİ</v>
          </cell>
          <cell r="C336" t="str">
            <v>TÜRKİYE DENİZCİLİK İŞL. A.Ş.</v>
          </cell>
          <cell r="D336" t="str">
            <v xml:space="preserve">        -Denizyolları İşletmesi</v>
          </cell>
          <cell r="E336" t="str">
            <v xml:space="preserve">        -Denizyolları İşletmesi</v>
          </cell>
          <cell r="F336" t="str">
            <v xml:space="preserve">        -Denizyolları İşletmesi</v>
          </cell>
        </row>
        <row r="337">
          <cell r="A337" t="str">
            <v>1.03.00.05.00.00</v>
          </cell>
          <cell r="B337" t="str">
            <v>TDİ</v>
          </cell>
          <cell r="C337" t="str">
            <v>TÜRKİYE DENİZCİLİK İŞL. A.Ş.</v>
          </cell>
          <cell r="D337" t="str">
            <v xml:space="preserve">        -Şehirhatları İşletmesi</v>
          </cell>
          <cell r="E337" t="str">
            <v xml:space="preserve">        -Şehirhatları İşletmesi</v>
          </cell>
          <cell r="F337" t="str">
            <v xml:space="preserve">        -Şehirhatları İşletmesi</v>
          </cell>
        </row>
        <row r="338">
          <cell r="A338" t="str">
            <v>1.03.00.06.00.00</v>
          </cell>
          <cell r="B338" t="str">
            <v>TDİ</v>
          </cell>
          <cell r="C338" t="str">
            <v>TÜRKİYE DENİZCİLİK İŞL. A.Ş.</v>
          </cell>
          <cell r="D338" t="str">
            <v xml:space="preserve">        -İstanbul Limanı İşletmesi</v>
          </cell>
          <cell r="E338" t="str">
            <v xml:space="preserve">        -İstanbul Limanı İşletmesi</v>
          </cell>
          <cell r="F338" t="str">
            <v xml:space="preserve">        -İstanbul Limanı İşletmesi</v>
          </cell>
        </row>
        <row r="339">
          <cell r="A339" t="str">
            <v>1.03.00.07.00.00</v>
          </cell>
          <cell r="B339" t="str">
            <v>TDİ</v>
          </cell>
          <cell r="C339" t="str">
            <v>TÜRKİYE DENİZCİLİK İŞL. A.Ş.</v>
          </cell>
          <cell r="D339" t="str">
            <v xml:space="preserve">        -İzmir İşletmesi</v>
          </cell>
          <cell r="E339" t="str">
            <v xml:space="preserve">        -İzmir İşletmesi</v>
          </cell>
          <cell r="F339" t="str">
            <v xml:space="preserve">        -İzmir İşletmesi</v>
          </cell>
        </row>
        <row r="340">
          <cell r="A340" t="str">
            <v>1.03.00.07.01.00</v>
          </cell>
          <cell r="B340" t="str">
            <v>TDİ</v>
          </cell>
          <cell r="C340" t="str">
            <v>TÜRKİYE DENİZCİLİK İŞL. A.Ş.</v>
          </cell>
          <cell r="D340" t="str">
            <v xml:space="preserve">        -İzmir İşletmesi</v>
          </cell>
          <cell r="E340" t="str">
            <v xml:space="preserve">            -Çeşme Limanı</v>
          </cell>
          <cell r="F340" t="str">
            <v xml:space="preserve">            -Çeşme Limanı</v>
          </cell>
        </row>
        <row r="341">
          <cell r="A341" t="str">
            <v>1.03.00.07.02.00</v>
          </cell>
          <cell r="B341" t="str">
            <v>TDİ</v>
          </cell>
          <cell r="C341" t="str">
            <v>TÜRKİYE DENİZCİLİK İŞL. A.Ş.</v>
          </cell>
          <cell r="D341" t="str">
            <v xml:space="preserve">        -İzmir İşletmesi</v>
          </cell>
          <cell r="E341" t="str">
            <v xml:space="preserve">            -Dikili Limanı</v>
          </cell>
          <cell r="F341" t="str">
            <v xml:space="preserve">            -Dikili Limanı</v>
          </cell>
        </row>
        <row r="342">
          <cell r="A342" t="str">
            <v>1.03.00.07.03.00</v>
          </cell>
          <cell r="B342" t="str">
            <v>TDİ</v>
          </cell>
          <cell r="C342" t="str">
            <v>TÜRKİYE DENİZCİLİK İŞL. A.Ş.</v>
          </cell>
          <cell r="D342" t="str">
            <v xml:space="preserve">        -İzmir İşletmesi</v>
          </cell>
          <cell r="E342" t="str">
            <v xml:space="preserve">            -Güllük Limanı</v>
          </cell>
          <cell r="F342" t="str">
            <v xml:space="preserve">            -Güllük Limanı</v>
          </cell>
        </row>
        <row r="343">
          <cell r="A343" t="str">
            <v>1.03.00.07.04.00</v>
          </cell>
          <cell r="B343" t="str">
            <v>TDİ</v>
          </cell>
          <cell r="C343" t="str">
            <v>TÜRKİYE DENİZCİLİK İŞL. A.Ş.</v>
          </cell>
          <cell r="D343" t="str">
            <v xml:space="preserve">        -İzmir İşletmesi</v>
          </cell>
          <cell r="E343" t="str">
            <v xml:space="preserve">            -Kuşadası Limanı</v>
          </cell>
          <cell r="F343" t="str">
            <v xml:space="preserve">            -Kuşadası Limanı</v>
          </cell>
        </row>
        <row r="344">
          <cell r="A344" t="str">
            <v>1.03.00.08.00.00</v>
          </cell>
          <cell r="B344" t="str">
            <v>TDİ</v>
          </cell>
          <cell r="C344" t="str">
            <v>TÜRKİYE DENİZCİLİK İŞL. A.Ş.</v>
          </cell>
          <cell r="D344" t="str">
            <v xml:space="preserve">        -Trabzon Liman İşletmesi</v>
          </cell>
          <cell r="E344" t="str">
            <v xml:space="preserve">        -Trabzon Liman İşletmesi</v>
          </cell>
          <cell r="F344" t="str">
            <v xml:space="preserve">        -Trabzon Liman İşletmesi</v>
          </cell>
        </row>
        <row r="345">
          <cell r="A345" t="str">
            <v>1.03.00.09.00.00</v>
          </cell>
          <cell r="B345" t="str">
            <v>TDİ</v>
          </cell>
          <cell r="C345" t="str">
            <v>TÜRKİYE DENİZCİLİK İŞL. A.Ş.</v>
          </cell>
          <cell r="D345" t="str">
            <v xml:space="preserve">       -Tersane Müdürlüğü</v>
          </cell>
          <cell r="E345" t="str">
            <v xml:space="preserve">       -Tersane Müdürlüğü</v>
          </cell>
          <cell r="F345" t="str">
            <v xml:space="preserve">       -Tersane Müdürlüğü</v>
          </cell>
        </row>
        <row r="346">
          <cell r="A346" t="str">
            <v>1.04.00.00.00.00</v>
          </cell>
          <cell r="B346" t="str">
            <v>SÜMER</v>
          </cell>
          <cell r="C346" t="str">
            <v>SÜMER HOLD.A.Ş.</v>
          </cell>
          <cell r="D346" t="str">
            <v xml:space="preserve">        -Genel Müdürlük</v>
          </cell>
          <cell r="E346" t="str">
            <v xml:space="preserve">        -Genel Müdürlük</v>
          </cell>
          <cell r="F346" t="str">
            <v xml:space="preserve">        -Genel Müdürlük</v>
          </cell>
        </row>
        <row r="347">
          <cell r="A347" t="str">
            <v>1.04.00.01.00.00</v>
          </cell>
          <cell r="B347" t="str">
            <v>SÜMER</v>
          </cell>
          <cell r="C347" t="str">
            <v>SÜMER HOLD.A.Ş.</v>
          </cell>
          <cell r="D347" t="str">
            <v xml:space="preserve">        -Antalya Pamuklu Dokuma Sanayii T.A.Ş.</v>
          </cell>
          <cell r="E347" t="str">
            <v xml:space="preserve">        -Antalya Pamuklu Dokuma Sanayii T.A.Ş.</v>
          </cell>
          <cell r="F347" t="str">
            <v xml:space="preserve">        -Antalya Pamuklu Dokuma Sanayii T.A.Ş.</v>
          </cell>
        </row>
        <row r="348">
          <cell r="A348" t="str">
            <v>1.04.00.02.00.00</v>
          </cell>
          <cell r="B348" t="str">
            <v>SÜMER</v>
          </cell>
          <cell r="C348" t="str">
            <v>SÜMER HOLD.A.Ş.</v>
          </cell>
          <cell r="D348" t="str">
            <v xml:space="preserve">        -Bergama Pamuk İpliği ve Dokuma Sanayii T.A.Ş.</v>
          </cell>
          <cell r="E348" t="str">
            <v xml:space="preserve">        -Bergama Pamuk İpliği ve Dokuma Sanayii T.A.Ş.</v>
          </cell>
          <cell r="F348" t="str">
            <v xml:space="preserve">        -Bergama Pamuk İpliği ve Dokuma Sanayii T.A.Ş.</v>
          </cell>
        </row>
        <row r="349">
          <cell r="A349" t="str">
            <v>1.04.00.03.00.00</v>
          </cell>
          <cell r="B349" t="str">
            <v>SÜMER</v>
          </cell>
          <cell r="C349" t="str">
            <v>SÜMER HOLD.A.Ş.</v>
          </cell>
          <cell r="D349" t="str">
            <v xml:space="preserve">        -Manisa Pamuklu Mensucat A.Ş.</v>
          </cell>
          <cell r="E349" t="str">
            <v xml:space="preserve">        -Manisa Pamuklu Mensucat A.Ş.</v>
          </cell>
          <cell r="F349" t="str">
            <v xml:space="preserve">        -Manisa Pamuklu Mensucat A.Ş.</v>
          </cell>
        </row>
        <row r="350">
          <cell r="A350" t="str">
            <v>1.04.00.04.00.00</v>
          </cell>
          <cell r="B350" t="str">
            <v>SÜMER</v>
          </cell>
          <cell r="C350" t="str">
            <v>SÜMER HOLD.A.Ş.</v>
          </cell>
          <cell r="D350" t="str">
            <v xml:space="preserve">        -Sivas Dokuma Sanayii A.Ş.</v>
          </cell>
          <cell r="E350" t="str">
            <v xml:space="preserve">        -Sivas Dokuma Sanayii A.Ş.</v>
          </cell>
          <cell r="F350" t="str">
            <v xml:space="preserve">        -Sivas Dokuma Sanayii A.Ş.</v>
          </cell>
        </row>
        <row r="351">
          <cell r="A351" t="str">
            <v>1.04.00.20.00.00</v>
          </cell>
          <cell r="B351" t="str">
            <v>SÜMER</v>
          </cell>
          <cell r="C351" t="str">
            <v>SÜMER HOLD.A.Ş.</v>
          </cell>
          <cell r="D351" t="str">
            <v xml:space="preserve">        -Sakarya Traktör Sanayi İşletmesi</v>
          </cell>
          <cell r="E351" t="str">
            <v xml:space="preserve">        -Sakarya Traktör Sanayi İşletmesi</v>
          </cell>
          <cell r="F351" t="str">
            <v xml:space="preserve">        -Sakarya Traktör Sanayi İşletmesi</v>
          </cell>
        </row>
        <row r="352">
          <cell r="A352" t="str">
            <v>1.04.00.21.00.00</v>
          </cell>
          <cell r="B352" t="str">
            <v>SÜMER</v>
          </cell>
          <cell r="C352" t="str">
            <v>SÜMER HOLD.A.Ş.</v>
          </cell>
          <cell r="D352" t="str">
            <v xml:space="preserve">        -TÜMOSAN Türk Motor ve Traktör Sanayi İşletmesi</v>
          </cell>
          <cell r="E352" t="str">
            <v xml:space="preserve">        -TÜMOSAN Türk Motor ve Traktör Sanayi İşletmesi</v>
          </cell>
          <cell r="F352" t="str">
            <v xml:space="preserve">        -TÜMOSAN Türk Motor ve Traktör Sanayi İşletmesi</v>
          </cell>
        </row>
        <row r="353">
          <cell r="A353" t="str">
            <v>1.04.00.22.00.00</v>
          </cell>
          <cell r="B353" t="str">
            <v>SÜMER</v>
          </cell>
          <cell r="C353" t="str">
            <v>SÜMER HOLD.A.Ş.</v>
          </cell>
          <cell r="D353" t="str">
            <v xml:space="preserve">        -Adana Pamuk Satınalma ve Çırçır Fab. İşletmesi </v>
          </cell>
          <cell r="E353" t="str">
            <v xml:space="preserve">        -Adana Pamuk Satınalma ve Çırçır Fab. İşletmesi </v>
          </cell>
          <cell r="F353" t="str">
            <v xml:space="preserve">        -Adana Pamuk Satınalma ve Çırçır Fab. İşletmesi </v>
          </cell>
        </row>
        <row r="354">
          <cell r="A354" t="str">
            <v>1.04.00.23.00.00</v>
          </cell>
          <cell r="B354" t="str">
            <v>SÜMER</v>
          </cell>
          <cell r="C354" t="str">
            <v>SÜMER HOLD.A.Ş.</v>
          </cell>
          <cell r="D354" t="str">
            <v xml:space="preserve">        -Adıyaman Pamuk Sanayii İşletmesi</v>
          </cell>
          <cell r="E354" t="str">
            <v xml:space="preserve">        -Adıyaman Pamuk Sanayii İşletmesi</v>
          </cell>
          <cell r="F354" t="str">
            <v xml:space="preserve">        -Adıyaman Pamuk Sanayii İşletmesi</v>
          </cell>
        </row>
        <row r="355">
          <cell r="A355" t="str">
            <v>1.04.00.24.00.00</v>
          </cell>
          <cell r="B355" t="str">
            <v>SÜMER</v>
          </cell>
          <cell r="C355" t="str">
            <v>SÜMER HOLD.A.Ş.</v>
          </cell>
          <cell r="D355" t="str">
            <v xml:space="preserve">        -Akdeniz Pamuklu Sanayii İşletmesi</v>
          </cell>
          <cell r="E355" t="str">
            <v xml:space="preserve">        -Akdeniz Pamuklu Sanayii İşletmesi</v>
          </cell>
          <cell r="F355" t="str">
            <v xml:space="preserve">        -Akdeniz Pamuklu Sanayii İşletmesi</v>
          </cell>
        </row>
        <row r="356">
          <cell r="A356" t="str">
            <v>1.04.00.25.00.00</v>
          </cell>
          <cell r="B356" t="str">
            <v>SÜMER</v>
          </cell>
          <cell r="C356" t="str">
            <v>SÜMER HOLD.A.Ş.</v>
          </cell>
          <cell r="D356" t="str">
            <v xml:space="preserve">        -Bakırköy Konfeksiyon Sanayii İşletmesi</v>
          </cell>
          <cell r="E356" t="str">
            <v xml:space="preserve">        -Bakırköy Konfeksiyon Sanayii İşletmesi</v>
          </cell>
          <cell r="F356" t="str">
            <v xml:space="preserve">        -Bakırköy Konfeksiyon Sanayii İşletmesi</v>
          </cell>
        </row>
        <row r="357">
          <cell r="A357" t="str">
            <v>1.04.00.26.00.00</v>
          </cell>
          <cell r="B357" t="str">
            <v>SÜMER</v>
          </cell>
          <cell r="C357" t="str">
            <v>SÜMER HOLD.A.Ş.</v>
          </cell>
          <cell r="D357" t="str">
            <v xml:space="preserve">        -Diyarbakır Pamuklu Sanayii İşletmesi</v>
          </cell>
          <cell r="E357" t="str">
            <v xml:space="preserve">        -Diyarbakır Pamuklu Sanayii İşletmesi</v>
          </cell>
          <cell r="F357" t="str">
            <v xml:space="preserve">        -Diyarbakır Pamuklu Sanayii İşletmesi</v>
          </cell>
        </row>
        <row r="358">
          <cell r="A358" t="str">
            <v>1.04.00.27.00.00</v>
          </cell>
          <cell r="B358" t="str">
            <v>SÜMER</v>
          </cell>
          <cell r="C358" t="str">
            <v>SÜMER HOLD.A.Ş.</v>
          </cell>
          <cell r="D358" t="str">
            <v xml:space="preserve">        -İzmir İrtibat Bürosu Yönecitiliği</v>
          </cell>
          <cell r="E358" t="str">
            <v xml:space="preserve">        -İzmir İrtibat Bürosu Yönecitiliği</v>
          </cell>
          <cell r="F358" t="str">
            <v xml:space="preserve">        -İzmir İrtibat Bürosu Yönecitiliği</v>
          </cell>
        </row>
        <row r="359">
          <cell r="A359" t="str">
            <v>1.04.00.28.00.00</v>
          </cell>
          <cell r="B359" t="str">
            <v>SÜMER</v>
          </cell>
          <cell r="C359" t="str">
            <v>SÜMER HOLD.A.Ş.</v>
          </cell>
          <cell r="D359" t="str">
            <v xml:space="preserve">        -Malatya Pamuklu Sanayii İşletmesi</v>
          </cell>
          <cell r="E359" t="str">
            <v xml:space="preserve">        -Malatya Pamuklu Sanayii İşletmesi</v>
          </cell>
          <cell r="F359" t="str">
            <v xml:space="preserve">        -Malatya Pamuklu Sanayii İşletmesi</v>
          </cell>
        </row>
        <row r="360">
          <cell r="A360" t="str">
            <v>1.04.00.29.00.00</v>
          </cell>
          <cell r="B360" t="str">
            <v>SÜMER</v>
          </cell>
          <cell r="C360" t="str">
            <v>SÜMER HOLD.A.Ş.</v>
          </cell>
          <cell r="D360" t="str">
            <v xml:space="preserve">        -Merinos Yünlü Sanayii İşletmesi</v>
          </cell>
          <cell r="E360" t="str">
            <v xml:space="preserve">        -Merinos Yünlü Sanayii İşletmesi</v>
          </cell>
          <cell r="F360" t="str">
            <v xml:space="preserve">        -Merinos Yünlü Sanayii İşletmesi</v>
          </cell>
        </row>
        <row r="361">
          <cell r="A361" t="str">
            <v>1.04.00.30.00.00</v>
          </cell>
          <cell r="B361" t="str">
            <v>SÜMER</v>
          </cell>
          <cell r="C361" t="str">
            <v>SÜMER HOLD.A.Ş.</v>
          </cell>
          <cell r="D361" t="str">
            <v xml:space="preserve">        -Nazilli İrtibat Bürosu Yöneticiliği</v>
          </cell>
          <cell r="E361" t="str">
            <v xml:space="preserve">        -Nazilli İrtibat Bürosu Yöneticiliği</v>
          </cell>
          <cell r="F361" t="str">
            <v xml:space="preserve">        -Nazilli İrtibat Bürosu Yöneticiliği</v>
          </cell>
        </row>
        <row r="362">
          <cell r="A362" t="str">
            <v>1.04.00.31.00.00</v>
          </cell>
          <cell r="B362" t="str">
            <v>SÜMER</v>
          </cell>
          <cell r="C362" t="str">
            <v>SÜMER HOLD.A.Ş.</v>
          </cell>
          <cell r="D362" t="str">
            <v xml:space="preserve">        -Beykoz Deri ve Kundura Sanayii İşletmesi</v>
          </cell>
          <cell r="E362" t="str">
            <v xml:space="preserve">        -Beykoz Deri ve Kundura Sanayii İşletmesi</v>
          </cell>
          <cell r="F362" t="str">
            <v xml:space="preserve">        -Beykoz Deri ve Kundura Sanayii İşletmesi</v>
          </cell>
        </row>
        <row r="363">
          <cell r="A363" t="str">
            <v>1.04.00.32.00.00</v>
          </cell>
          <cell r="B363" t="str">
            <v>SÜMER</v>
          </cell>
          <cell r="C363" t="str">
            <v>SÜMER HOLD.A.Ş.</v>
          </cell>
          <cell r="D363" t="str">
            <v xml:space="preserve">        -Çanakkale Sentetik Deri İşletmesi</v>
          </cell>
          <cell r="E363" t="str">
            <v xml:space="preserve">        -Çanakkale Sentetik Deri İşletmesi</v>
          </cell>
          <cell r="F363" t="str">
            <v xml:space="preserve">        -Çanakkale Sentetik Deri İşletmesi</v>
          </cell>
        </row>
        <row r="364">
          <cell r="A364" t="str">
            <v>1.04.00.33.00.00</v>
          </cell>
          <cell r="B364" t="str">
            <v>SÜMER</v>
          </cell>
          <cell r="C364" t="str">
            <v>SÜMER HOLD.A.Ş.</v>
          </cell>
          <cell r="D364" t="str">
            <v xml:space="preserve">        -Sarıkamış Ayakkabı İşletmesi</v>
          </cell>
          <cell r="E364" t="str">
            <v xml:space="preserve">        -Sarıkamış Ayakkabı İşletmesi</v>
          </cell>
          <cell r="F364" t="str">
            <v xml:space="preserve">        -Sarıkamış Ayakkabı İşletmesi</v>
          </cell>
        </row>
        <row r="365">
          <cell r="A365" t="str">
            <v>1.04.00.34.00.00</v>
          </cell>
          <cell r="B365" t="str">
            <v>SÜMER</v>
          </cell>
          <cell r="C365" t="str">
            <v>SÜMER HOLD.A.Ş.</v>
          </cell>
          <cell r="D365" t="str">
            <v xml:space="preserve">        -Tercan Ayakkabı İşletmesi</v>
          </cell>
          <cell r="E365" t="str">
            <v xml:space="preserve">        -Tercan Ayakkabı İşletmesi</v>
          </cell>
          <cell r="F365" t="str">
            <v xml:space="preserve">        -Tercan Ayakkabı İşletmesi</v>
          </cell>
        </row>
        <row r="366">
          <cell r="A366" t="str">
            <v>1.04.00.35.00.00</v>
          </cell>
          <cell r="B366" t="str">
            <v>SÜMER</v>
          </cell>
          <cell r="C366" t="str">
            <v>SÜMER HOLD.A.Ş.</v>
          </cell>
          <cell r="D366" t="str">
            <v xml:space="preserve">        -Van Deri ve Kundura Sanayii İşletmesi</v>
          </cell>
          <cell r="E366" t="str">
            <v xml:space="preserve">        -Van Deri ve Kundura Sanayii İşletmesi</v>
          </cell>
          <cell r="F366" t="str">
            <v xml:space="preserve">        -Van Deri ve Kundura Sanayii İşletmesi</v>
          </cell>
        </row>
        <row r="367">
          <cell r="A367" t="str">
            <v>1.04.00.36.00.00</v>
          </cell>
          <cell r="B367" t="str">
            <v>SÜMER</v>
          </cell>
          <cell r="C367" t="str">
            <v>SÜMER HOLD.A.Ş.</v>
          </cell>
          <cell r="D367" t="str">
            <v xml:space="preserve">        -Pazarlama İşletmesi</v>
          </cell>
          <cell r="E367" t="str">
            <v xml:space="preserve">        -Pazarlama İşletmesi</v>
          </cell>
          <cell r="F367" t="str">
            <v xml:space="preserve">        -Pazarlama İşletmesi</v>
          </cell>
        </row>
        <row r="368">
          <cell r="A368" t="str">
            <v>1.04.00.37.00.00</v>
          </cell>
          <cell r="B368" t="str">
            <v>SÜMER</v>
          </cell>
          <cell r="C368" t="str">
            <v>SÜMER HOLD.A.Ş.</v>
          </cell>
          <cell r="D368" t="str">
            <v xml:space="preserve">        -Zirai Donatım</v>
          </cell>
          <cell r="E368" t="str">
            <v xml:space="preserve">        -Zirai Donatım</v>
          </cell>
          <cell r="F368" t="str">
            <v xml:space="preserve">        -Zirai Donatım</v>
          </cell>
        </row>
        <row r="369">
          <cell r="A369" t="str">
            <v>1.04.00.38.00.00</v>
          </cell>
          <cell r="B369" t="str">
            <v>SÜMER</v>
          </cell>
          <cell r="C369" t="str">
            <v>SÜMER HOLD.A.Ş.</v>
          </cell>
          <cell r="D369" t="str">
            <v xml:space="preserve">        -Turban</v>
          </cell>
          <cell r="E369" t="str">
            <v xml:space="preserve">        -Turban</v>
          </cell>
          <cell r="F369" t="str">
            <v xml:space="preserve">        -Turban</v>
          </cell>
        </row>
        <row r="370">
          <cell r="A370" t="str">
            <v>1.05.00.00.00.00</v>
          </cell>
          <cell r="B370" t="str">
            <v>TÜGSAŞ</v>
          </cell>
          <cell r="C370" t="str">
            <v>TÜGSAŞ TÜRKİYE GÜBRE SAN.A.Ş.</v>
          </cell>
          <cell r="D370" t="str">
            <v xml:space="preserve">        -Genel Müdürlük+Taşra Teşkilatı</v>
          </cell>
          <cell r="E370" t="str">
            <v xml:space="preserve">        -Genel Müdürlük+Taşra Teşkilatı</v>
          </cell>
          <cell r="F370" t="str">
            <v xml:space="preserve">        -Genel Müdürlük+Taşra Teşkilatı</v>
          </cell>
        </row>
        <row r="371">
          <cell r="A371" t="str">
            <v>1.05.00.01.00.00</v>
          </cell>
          <cell r="B371" t="str">
            <v>TÜGSAŞ</v>
          </cell>
          <cell r="C371" t="str">
            <v>TÜGSAŞ TÜRKİYE GÜBRE SAN.A.Ş.</v>
          </cell>
          <cell r="D371" t="str">
            <v xml:space="preserve">        -Kütahya Gübre Sanayi A.Ş.</v>
          </cell>
          <cell r="E371" t="str">
            <v xml:space="preserve">        -Kütahya Gübre Sanayi A.Ş.</v>
          </cell>
          <cell r="F371" t="str">
            <v xml:space="preserve">        -Kütahya Gübre Sanayi A.Ş.</v>
          </cell>
        </row>
        <row r="372">
          <cell r="A372" t="str">
            <v>1.05.00.02.00.00</v>
          </cell>
          <cell r="B372" t="str">
            <v>TÜGSAŞ</v>
          </cell>
          <cell r="C372" t="str">
            <v>TÜGSAŞ TÜRKİYE GÜBRE SAN.A.Ş.</v>
          </cell>
          <cell r="D372" t="str">
            <v xml:space="preserve">        -Samsun Gübre Sanayi A.Ş.</v>
          </cell>
          <cell r="E372" t="str">
            <v xml:space="preserve">        -Samsun Gübre Sanayi A.Ş.</v>
          </cell>
          <cell r="F372" t="str">
            <v xml:space="preserve">        -Samsun Gübre Sanayi A.Ş.</v>
          </cell>
        </row>
        <row r="373">
          <cell r="A373" t="str">
            <v>1.05.00.04.00.00</v>
          </cell>
          <cell r="B373" t="str">
            <v>TÜGSAŞ</v>
          </cell>
          <cell r="C373" t="str">
            <v>TÜGSAŞ TÜRKİYE GÜBRE SAN.A.Ş.</v>
          </cell>
          <cell r="D373" t="str">
            <v xml:space="preserve">        -Gemlik Gübre Sanayi A.Ş.</v>
          </cell>
          <cell r="E373" t="str">
            <v xml:space="preserve">        -Gemlik Gübre Sanayi A.Ş.</v>
          </cell>
          <cell r="F373" t="str">
            <v xml:space="preserve">        -Gemlik Gübre Sanayi A.Ş.</v>
          </cell>
        </row>
        <row r="374">
          <cell r="A374" t="str">
            <v>1.05.00.05.00.00</v>
          </cell>
          <cell r="B374" t="str">
            <v>TÜGSAŞ</v>
          </cell>
          <cell r="C374" t="str">
            <v>TÜGSAŞ TÜRKİYE GÜBRE SAN.A.Ş.</v>
          </cell>
          <cell r="D374" t="str">
            <v xml:space="preserve">        -İgsaş İstanbul Gübre Sanayi A.Ş.</v>
          </cell>
          <cell r="E374" t="str">
            <v xml:space="preserve">        -İgsaş İstanbul Gübre Sanayi A.Ş.</v>
          </cell>
          <cell r="F374" t="str">
            <v xml:space="preserve">        -İgsaş İstanbul Gübre Sanayi A.Ş.</v>
          </cell>
        </row>
        <row r="375">
          <cell r="A375" t="str">
            <v>1.06.00.00.00.00</v>
          </cell>
          <cell r="B375" t="str">
            <v>EBK</v>
          </cell>
          <cell r="C375" t="str">
            <v>ET VE BALIK ÜRÜNLERİ A.Ş.</v>
          </cell>
          <cell r="D375" t="str">
            <v xml:space="preserve">        -Genel Müdürlük</v>
          </cell>
          <cell r="E375" t="str">
            <v xml:space="preserve">        -Genel Müdürlük</v>
          </cell>
          <cell r="F375" t="str">
            <v xml:space="preserve">        -Genel Müdürlük</v>
          </cell>
        </row>
        <row r="376">
          <cell r="A376" t="str">
            <v>1.06.00.01.00.00</v>
          </cell>
          <cell r="B376" t="str">
            <v>EBK</v>
          </cell>
          <cell r="C376" t="str">
            <v>ET VE BALIK ÜRÜNLERİ A.Ş.</v>
          </cell>
          <cell r="D376" t="str">
            <v xml:space="preserve">        -Taşımacılık Dairesi Başkanlığı</v>
          </cell>
          <cell r="E376" t="str">
            <v xml:space="preserve">        -Taşımacılık Dairesi Başkanlığı</v>
          </cell>
          <cell r="F376" t="str">
            <v xml:space="preserve">        -Taşımacılık Dairesi Başkanlığı</v>
          </cell>
        </row>
        <row r="377">
          <cell r="A377" t="str">
            <v>1.06.00.02.00.00</v>
          </cell>
          <cell r="B377" t="str">
            <v>EBK</v>
          </cell>
          <cell r="C377" t="str">
            <v>ET VE BALIK ÜRÜNLERİ A.Ş.</v>
          </cell>
          <cell r="D377" t="str">
            <v xml:space="preserve">        -Adana Et Kombinası</v>
          </cell>
          <cell r="E377" t="str">
            <v xml:space="preserve">        -Adana Et Kombinası</v>
          </cell>
          <cell r="F377" t="str">
            <v xml:space="preserve">        -Adana Et Kombinası</v>
          </cell>
        </row>
        <row r="378">
          <cell r="A378" t="str">
            <v>1.06.00.03.00.00</v>
          </cell>
          <cell r="B378" t="str">
            <v>EBK</v>
          </cell>
          <cell r="C378" t="str">
            <v>ET VE BALIK ÜRÜNLERİ A.Ş.</v>
          </cell>
          <cell r="D378" t="str">
            <v xml:space="preserve">        -Bingöl Et Kombinası</v>
          </cell>
          <cell r="E378" t="str">
            <v xml:space="preserve">        -Bingöl Et Kombinası</v>
          </cell>
          <cell r="F378" t="str">
            <v xml:space="preserve">        -Bingöl Et Kombinası</v>
          </cell>
        </row>
        <row r="379">
          <cell r="A379" t="str">
            <v>1.06.00.04.00.00</v>
          </cell>
          <cell r="B379" t="str">
            <v>EBK</v>
          </cell>
          <cell r="C379" t="str">
            <v>ET VE BALIK ÜRÜNLERİ A.Ş.</v>
          </cell>
          <cell r="D379" t="str">
            <v xml:space="preserve">        -Diyarbakır Et Kombinası</v>
          </cell>
          <cell r="E379" t="str">
            <v xml:space="preserve">        -Diyarbakır Et Kombinası</v>
          </cell>
          <cell r="F379" t="str">
            <v xml:space="preserve">        -Diyarbakır Et Kombinası</v>
          </cell>
        </row>
        <row r="380">
          <cell r="A380" t="str">
            <v>1.06.00.05.00.00</v>
          </cell>
          <cell r="B380" t="str">
            <v>EBK</v>
          </cell>
          <cell r="C380" t="str">
            <v>ET VE BALIK ÜRÜNLERİ A.Ş.</v>
          </cell>
          <cell r="D380" t="str">
            <v xml:space="preserve">        -Erzurum Et Kombinası</v>
          </cell>
          <cell r="E380" t="str">
            <v xml:space="preserve">        -Erzurum Et Kombinası</v>
          </cell>
          <cell r="F380" t="str">
            <v xml:space="preserve">        -Erzurum Et Kombinası</v>
          </cell>
        </row>
        <row r="381">
          <cell r="A381" t="str">
            <v>1.06.00.06.00.00</v>
          </cell>
          <cell r="B381" t="str">
            <v>EBK</v>
          </cell>
          <cell r="C381" t="str">
            <v>ET VE BALIK ÜRÜNLERİ A.Ş.</v>
          </cell>
          <cell r="D381" t="str">
            <v xml:space="preserve">        -Kayseri Et Kombinası</v>
          </cell>
          <cell r="E381" t="str">
            <v xml:space="preserve">        -Kayseri Et Kombinası</v>
          </cell>
          <cell r="F381" t="str">
            <v xml:space="preserve">        -Kayseri Et Kombinası</v>
          </cell>
        </row>
        <row r="382">
          <cell r="A382" t="str">
            <v>1.06.00.07.00.00</v>
          </cell>
          <cell r="B382" t="str">
            <v>EBK</v>
          </cell>
          <cell r="C382" t="str">
            <v>ET VE BALIK ÜRÜNLERİ A.Ş.</v>
          </cell>
          <cell r="D382" t="str">
            <v xml:space="preserve">        -Konya Et Kombinası</v>
          </cell>
          <cell r="E382" t="str">
            <v xml:space="preserve">        -Konya Et Kombinası</v>
          </cell>
          <cell r="F382" t="str">
            <v xml:space="preserve">        -Konya Et Kombinası</v>
          </cell>
        </row>
        <row r="383">
          <cell r="A383" t="str">
            <v>1.06.00.08.00.00</v>
          </cell>
          <cell r="B383" t="str">
            <v>EBK</v>
          </cell>
          <cell r="C383" t="str">
            <v>ET VE BALIK ÜRÜNLERİ A.Ş.</v>
          </cell>
          <cell r="D383" t="str">
            <v xml:space="preserve">        -Manisa Et Tavuk Kombinası</v>
          </cell>
          <cell r="E383" t="str">
            <v xml:space="preserve">        -Manisa Et Tavuk Kombinası</v>
          </cell>
          <cell r="F383" t="str">
            <v xml:space="preserve">        -Manisa Et Tavuk Kombinası</v>
          </cell>
        </row>
        <row r="384">
          <cell r="A384" t="str">
            <v>1.06.00.09.00.00</v>
          </cell>
          <cell r="B384" t="str">
            <v>EBK</v>
          </cell>
          <cell r="C384" t="str">
            <v>ET VE BALIK ÜRÜNLERİ A.Ş.</v>
          </cell>
          <cell r="D384" t="str">
            <v xml:space="preserve">        -Sakarya Et Tavuk Kombinası</v>
          </cell>
          <cell r="E384" t="str">
            <v xml:space="preserve">        -Sakarya Et Tavuk Kombinası</v>
          </cell>
          <cell r="F384" t="str">
            <v xml:space="preserve">        -Sakarya Et Tavuk Kombinası</v>
          </cell>
        </row>
        <row r="385">
          <cell r="A385" t="str">
            <v>1.06.00.10.00.00</v>
          </cell>
          <cell r="B385" t="str">
            <v>EBK</v>
          </cell>
          <cell r="C385" t="str">
            <v>ET VE BALIK ÜRÜNLERİ A.Ş.</v>
          </cell>
          <cell r="D385" t="str">
            <v xml:space="preserve">        -Samsun Soğuk Depo Şefliği</v>
          </cell>
          <cell r="E385" t="str">
            <v xml:space="preserve">        -Samsun Soğuk Depo Şefliği</v>
          </cell>
          <cell r="F385" t="str">
            <v xml:space="preserve">        -Samsun Soğuk Depo Şefliği</v>
          </cell>
        </row>
        <row r="386">
          <cell r="A386" t="str">
            <v>1.06.00.11.00.00</v>
          </cell>
          <cell r="B386" t="str">
            <v>EBK</v>
          </cell>
          <cell r="C386" t="str">
            <v>ET VE BALIK ÜRÜNLERİ A.Ş.</v>
          </cell>
          <cell r="D386" t="str">
            <v xml:space="preserve">        -Sincan Et Sanayi İşletmesi ve Tavuk Kombinası</v>
          </cell>
          <cell r="E386" t="str">
            <v xml:space="preserve">        -Sincan Et Sanayi İşletmesi ve Tavuk Kombinası</v>
          </cell>
          <cell r="F386" t="str">
            <v xml:space="preserve">        -Sincan Et Sanayi İşletmesi ve Tavuk Kombinası</v>
          </cell>
        </row>
        <row r="387">
          <cell r="A387" t="str">
            <v>1.06.00.12.00.00</v>
          </cell>
          <cell r="B387" t="str">
            <v>EBK</v>
          </cell>
          <cell r="C387" t="str">
            <v>ET VE BALIK ÜRÜNLERİ A.Ş.</v>
          </cell>
          <cell r="D387" t="str">
            <v xml:space="preserve">        -Van Et Kombinası</v>
          </cell>
          <cell r="E387" t="str">
            <v xml:space="preserve">        -Van Et Kombinası</v>
          </cell>
          <cell r="F387" t="str">
            <v xml:space="preserve">        -Van Et Kombinası</v>
          </cell>
        </row>
        <row r="388">
          <cell r="A388" t="str">
            <v>1.06.00.13.00.00</v>
          </cell>
          <cell r="B388" t="str">
            <v>EBK</v>
          </cell>
          <cell r="C388" t="str">
            <v>ET VE BALIK ÜRÜNLERİ A.Ş.</v>
          </cell>
          <cell r="D388" t="str">
            <v xml:space="preserve">        -Zeytinburnu Et Kombinası</v>
          </cell>
          <cell r="E388" t="str">
            <v xml:space="preserve">        -Zeytinburnu Et Kombinası</v>
          </cell>
          <cell r="F388" t="str">
            <v xml:space="preserve">        -Zeytinburnu Et Kombinası</v>
          </cell>
        </row>
        <row r="389">
          <cell r="A389" t="str">
            <v>1.06.00.21.00.00</v>
          </cell>
          <cell r="B389" t="str">
            <v>EBK</v>
          </cell>
          <cell r="C389" t="str">
            <v>ET VE BALIK ÜRÜNLERİ A.Ş.</v>
          </cell>
          <cell r="D389" t="str">
            <v xml:space="preserve">        -Meybuz</v>
          </cell>
          <cell r="E389" t="str">
            <v xml:space="preserve">        -Meybuz</v>
          </cell>
          <cell r="F389" t="str">
            <v xml:space="preserve">        -Meybuz</v>
          </cell>
        </row>
        <row r="390">
          <cell r="A390" t="str">
            <v>1.07.00.00.00.00</v>
          </cell>
          <cell r="B390" t="str">
            <v>YENİKÖY E.</v>
          </cell>
          <cell r="C390" t="str">
            <v>YENİKÖY ELKT.ÜRT.A.Ş.</v>
          </cell>
          <cell r="D390" t="str">
            <v>YENİKÖY ELKT.ÜRT.A.Ş.</v>
          </cell>
          <cell r="E390" t="str">
            <v>YENİKÖY ELKT.ÜRT.A.Ş.</v>
          </cell>
          <cell r="F390" t="str">
            <v>YENİKÖY ELKT.ÜRT.A.Ş.</v>
          </cell>
        </row>
        <row r="391">
          <cell r="A391" t="str">
            <v>1.08.00.00.00.00</v>
          </cell>
          <cell r="B391" t="str">
            <v>KEMERKÖY E.</v>
          </cell>
          <cell r="C391" t="str">
            <v>KEMERKÖY ELKT.ÜRT.A.Ş.</v>
          </cell>
          <cell r="D391" t="str">
            <v>KEMERKÖY ELKT.ÜRT.A.Ş.</v>
          </cell>
          <cell r="E391" t="str">
            <v>KEMERKÖY ELKT.ÜRT.A.Ş.</v>
          </cell>
          <cell r="F391" t="str">
            <v>KEMERKÖY ELKT.ÜRT.A.Ş.</v>
          </cell>
        </row>
        <row r="392">
          <cell r="A392" t="str">
            <v>1.09.00.00.00.00</v>
          </cell>
          <cell r="B392" t="str">
            <v>SEKA</v>
          </cell>
          <cell r="C392" t="str">
            <v>SEKA TÜRKİYE SEL.KAĞ.FAB. A.Ş.</v>
          </cell>
          <cell r="D392" t="str">
            <v xml:space="preserve">        -Genel Müdürlük</v>
          </cell>
          <cell r="E392" t="str">
            <v xml:space="preserve">        -Genel Müdürlük</v>
          </cell>
          <cell r="F392" t="str">
            <v xml:space="preserve">        -Genel Müdürlük</v>
          </cell>
        </row>
        <row r="393">
          <cell r="A393" t="str">
            <v>1.09.00.01.00.00</v>
          </cell>
          <cell r="B393" t="str">
            <v>SEKA</v>
          </cell>
          <cell r="C393" t="str">
            <v>SEKA TÜRKİYE SEL.KAĞ.FAB. A.Ş.</v>
          </cell>
          <cell r="D393" t="str">
            <v xml:space="preserve">        -Afyon İşletmesi</v>
          </cell>
          <cell r="E393" t="str">
            <v xml:space="preserve">        -Afyon İşletmesi</v>
          </cell>
          <cell r="F393" t="str">
            <v xml:space="preserve">        -Afyon İşletmesi</v>
          </cell>
        </row>
        <row r="394">
          <cell r="A394" t="str">
            <v>1.09.00.02.00.00</v>
          </cell>
          <cell r="B394" t="str">
            <v>SEKA</v>
          </cell>
          <cell r="C394" t="str">
            <v>SEKA TÜRKİYE SEL.KAĞ.FAB. A.Ş.</v>
          </cell>
          <cell r="D394" t="str">
            <v xml:space="preserve">        -Aksu İşletmesi </v>
          </cell>
          <cell r="E394" t="str">
            <v xml:space="preserve">        -Aksu İşletmesi </v>
          </cell>
          <cell r="F394" t="str">
            <v xml:space="preserve">        -Aksu İşletmesi </v>
          </cell>
        </row>
        <row r="395">
          <cell r="A395" t="str">
            <v>1.09.00.03.00.00</v>
          </cell>
          <cell r="B395" t="str">
            <v>SEKA</v>
          </cell>
          <cell r="C395" t="str">
            <v>SEKA TÜRKİYE SEL.KAĞ.FAB. A.Ş.</v>
          </cell>
          <cell r="D395" t="str">
            <v xml:space="preserve">        -Akdeniz İşletmesi</v>
          </cell>
          <cell r="E395" t="str">
            <v xml:space="preserve">        -Akdeniz İşletmesi</v>
          </cell>
          <cell r="F395" t="str">
            <v xml:space="preserve">        -Akdeniz İşletmesi</v>
          </cell>
        </row>
        <row r="396">
          <cell r="A396" t="str">
            <v>1.09.00.04.00.00</v>
          </cell>
          <cell r="B396" t="str">
            <v>SEKA</v>
          </cell>
          <cell r="C396" t="str">
            <v>SEKA TÜRKİYE SEL.KAĞ.FAB. A.Ş.</v>
          </cell>
          <cell r="D396" t="str">
            <v xml:space="preserve">        -Balıkesir İşletmesi</v>
          </cell>
          <cell r="E396" t="str">
            <v xml:space="preserve">        -Balıkesir İşletmesi</v>
          </cell>
          <cell r="F396" t="str">
            <v xml:space="preserve">        -Balıkesir İşletmesi</v>
          </cell>
        </row>
        <row r="397">
          <cell r="A397" t="str">
            <v>1.09.00.05.00.00</v>
          </cell>
          <cell r="B397" t="str">
            <v>SEKA</v>
          </cell>
          <cell r="C397" t="str">
            <v>SEKA TÜRKİYE SEL.KAĞ.FAB. A.Ş.</v>
          </cell>
          <cell r="D397" t="str">
            <v xml:space="preserve">        -Çaycuma İşletmesi</v>
          </cell>
          <cell r="E397" t="str">
            <v xml:space="preserve">        -Çaycuma İşletmesi</v>
          </cell>
          <cell r="F397" t="str">
            <v xml:space="preserve">        -Çaycuma İşletmesi</v>
          </cell>
        </row>
        <row r="398">
          <cell r="A398" t="str">
            <v>1.09.00.06.00.00</v>
          </cell>
          <cell r="B398" t="str">
            <v>SEKA</v>
          </cell>
          <cell r="C398" t="str">
            <v>SEKA TÜRKİYE SEL.KAĞ.FAB. A.Ş.</v>
          </cell>
          <cell r="D398" t="str">
            <v xml:space="preserve">        -İzmit İşletmesi</v>
          </cell>
          <cell r="E398" t="str">
            <v xml:space="preserve">        -İzmit İşletmesi</v>
          </cell>
          <cell r="F398" t="str">
            <v xml:space="preserve">        -İzmit İşletmesi</v>
          </cell>
        </row>
        <row r="399">
          <cell r="A399" t="str">
            <v>1.09.00.07.00.00</v>
          </cell>
          <cell r="B399" t="str">
            <v>SEKA</v>
          </cell>
          <cell r="C399" t="str">
            <v>SEKA TÜRKİYE SEL.KAĞ.FAB. A.Ş.</v>
          </cell>
          <cell r="D399" t="str">
            <v xml:space="preserve">        -Karacasu İşletmesi</v>
          </cell>
          <cell r="E399" t="str">
            <v xml:space="preserve">        -Karacasu İşletmesi</v>
          </cell>
          <cell r="F399" t="str">
            <v xml:space="preserve">        -Karacasu İşletmesi</v>
          </cell>
        </row>
        <row r="400">
          <cell r="A400" t="str">
            <v>1.09.00.08.00.00</v>
          </cell>
          <cell r="B400" t="str">
            <v>SEKA</v>
          </cell>
          <cell r="C400" t="str">
            <v>SEKA TÜRKİYE SEL.KAĞ.FAB. A.Ş.</v>
          </cell>
          <cell r="D400" t="str">
            <v xml:space="preserve">        -Kastamonu İşletmesi</v>
          </cell>
          <cell r="E400" t="str">
            <v xml:space="preserve">        -Kastamonu İşletmesi</v>
          </cell>
          <cell r="F400" t="str">
            <v xml:space="preserve">        -Kastamonu İşletmesi</v>
          </cell>
        </row>
        <row r="401">
          <cell r="A401" t="str">
            <v>1.09.00.09.00.00</v>
          </cell>
          <cell r="B401" t="str">
            <v>SEKA</v>
          </cell>
          <cell r="C401" t="str">
            <v>SEKA TÜRKİYE SEL.KAĞ.FAB. A.Ş.</v>
          </cell>
          <cell r="D401" t="str">
            <v xml:space="preserve">        -Akkuş İşletmesi</v>
          </cell>
          <cell r="E401" t="str">
            <v xml:space="preserve">        -Akkuş İşletmesi</v>
          </cell>
          <cell r="F401" t="str">
            <v xml:space="preserve">        -Akkuş İşletmesi</v>
          </cell>
        </row>
        <row r="402">
          <cell r="A402" t="str">
            <v>1.09.00.10.00.00</v>
          </cell>
          <cell r="B402" t="str">
            <v>SEKA</v>
          </cell>
          <cell r="C402" t="str">
            <v>SEKA TÜRKİYE SEL.KAĞ.FAB. A.Ş.</v>
          </cell>
          <cell r="D402" t="str">
            <v xml:space="preserve">        -Ardanuç İşletmesi</v>
          </cell>
          <cell r="E402" t="str">
            <v xml:space="preserve">        -Ardanuç İşletmesi</v>
          </cell>
          <cell r="F402" t="str">
            <v xml:space="preserve">        -Ardanuç İşletmesi</v>
          </cell>
        </row>
        <row r="403">
          <cell r="A403" t="str">
            <v>1.10.00.00.00.00</v>
          </cell>
          <cell r="B403" t="str">
            <v>ETİ E.METAL</v>
          </cell>
          <cell r="C403" t="str">
            <v>ETİ ELEKTROMETALURJİ A.Ş.</v>
          </cell>
          <cell r="D403" t="str">
            <v>ETİ ELEKTROMETALURJİ A.Ş.</v>
          </cell>
          <cell r="E403" t="str">
            <v>ETİ ELEKTROMETALURJİ A.Ş.</v>
          </cell>
          <cell r="F403" t="str">
            <v>ETİ ELEKTROMETALURJİ A.Ş.</v>
          </cell>
        </row>
        <row r="404">
          <cell r="A404" t="str">
            <v>1.11.00.00.00.00</v>
          </cell>
          <cell r="B404" t="str">
            <v>ETİ KROM</v>
          </cell>
          <cell r="C404" t="str">
            <v>ETİ KROM A.Ş.</v>
          </cell>
          <cell r="D404" t="str">
            <v>ETİ KROM A.Ş.</v>
          </cell>
          <cell r="E404" t="str">
            <v>ETİ KROM A.Ş.</v>
          </cell>
          <cell r="F404" t="str">
            <v>ETİ KROM A.Ş.</v>
          </cell>
        </row>
        <row r="405">
          <cell r="A405" t="str">
            <v>1.12.00.00.00.00</v>
          </cell>
          <cell r="B405" t="str">
            <v>ETİ GÜMÜŞ</v>
          </cell>
          <cell r="C405" t="str">
            <v>ETİ GÜMÜŞ A.Ş.</v>
          </cell>
          <cell r="D405" t="str">
            <v>ETİ GÜMÜŞ A.Ş.</v>
          </cell>
          <cell r="E405" t="str">
            <v>ETİ GÜMÜŞ A.Ş.</v>
          </cell>
          <cell r="F405" t="str">
            <v>ETİ GÜMÜŞ A.Ş.</v>
          </cell>
        </row>
        <row r="406">
          <cell r="A406" t="str">
            <v>1.13.00.00.00.00</v>
          </cell>
          <cell r="B406" t="str">
            <v>TDÇİ</v>
          </cell>
          <cell r="C406" t="str">
            <v>TÜRKİYE DEMİR ÇELİK İŞL. A.Ş.</v>
          </cell>
          <cell r="D406" t="str">
            <v>TÜRKİYE DEMİR ÇELİK İŞL. A.Ş.</v>
          </cell>
          <cell r="E406" t="str">
            <v>TÜRKİYE DEMİR ÇELİK İŞL. A.Ş.</v>
          </cell>
          <cell r="F406" t="str">
            <v>TÜRKİYE DEMİR ÇELİK İŞL. A.Ş.</v>
          </cell>
        </row>
        <row r="407">
          <cell r="A407" t="str">
            <v>2.01.00.00.00.00</v>
          </cell>
          <cell r="B407" t="str">
            <v>THY</v>
          </cell>
          <cell r="C407" t="str">
            <v>TÜRK HAVA YOLLARI A.O.</v>
          </cell>
          <cell r="D407" t="str">
            <v>TÜRK HAVA YOLLARI A.O.</v>
          </cell>
          <cell r="E407" t="str">
            <v>TÜRK HAVA YOLLARI A.O.</v>
          </cell>
          <cell r="F407" t="str">
            <v>TÜRK HAVA YOLLARI A.O.</v>
          </cell>
        </row>
        <row r="408">
          <cell r="A408" t="str">
            <v>2.02.00.00.00.00</v>
          </cell>
          <cell r="B408" t="str">
            <v>TÜPRAŞ</v>
          </cell>
          <cell r="C408" t="str">
            <v>TÜPRAŞ TÜRKİYE PET.RAF. A.Ş.</v>
          </cell>
          <cell r="D408" t="str">
            <v xml:space="preserve">        -TÜPRAŞ Türkiye Petrol Rafinerileri A.Ş.</v>
          </cell>
          <cell r="E408" t="str">
            <v xml:space="preserve">        -TÜPRAŞ Türkiye Petrol Rafinerileri A.Ş.</v>
          </cell>
          <cell r="F408" t="str">
            <v xml:space="preserve">        -TÜPRAŞ Türkiye Petrol Rafinerileri A.Ş.</v>
          </cell>
        </row>
        <row r="409">
          <cell r="A409" t="str">
            <v>2.02.00.01.00.00</v>
          </cell>
          <cell r="B409" t="str">
            <v>TÜPRAŞ</v>
          </cell>
          <cell r="C409" t="str">
            <v>TÜPRAŞ TÜRKİYE PET.RAF. A.Ş.</v>
          </cell>
          <cell r="D409" t="str">
            <v xml:space="preserve">        -DİTAŞ Deniz İşletmeciliği ve Takerciliği A.Ş.</v>
          </cell>
          <cell r="E409" t="str">
            <v xml:space="preserve">        -DİTAŞ Deniz İşletmeciliği ve Takerciliği A.Ş.</v>
          </cell>
          <cell r="F409" t="str">
            <v xml:space="preserve">        -DİTAŞ Deniz İşletmeciliği ve Takerciliği A.Ş.</v>
          </cell>
        </row>
        <row r="410">
          <cell r="A410" t="str">
            <v>2.03.00.00.00.00</v>
          </cell>
          <cell r="B410" t="str">
            <v>PETKİM</v>
          </cell>
          <cell r="C410" t="str">
            <v>PETKİM PETROKİMYA HOLD.A.Ş.</v>
          </cell>
          <cell r="D410" t="str">
            <v>PETKİM PETROKİMYA HOLD.A.Ş.</v>
          </cell>
          <cell r="E410" t="str">
            <v>PETKİM PETROKİMYA HOLD.A.Ş.</v>
          </cell>
          <cell r="F410" t="str">
            <v>PETKİM PETROKİMYA HOLD.A.Ş.</v>
          </cell>
        </row>
        <row r="411">
          <cell r="A411" t="str">
            <v>2.04.00.00.00.00</v>
          </cell>
          <cell r="B411" t="str">
            <v>ETİ ALÜMİNYUM</v>
          </cell>
          <cell r="C411" t="str">
            <v>ETİ ALÜMİNYUM  A.Ş.</v>
          </cell>
          <cell r="D411" t="str">
            <v>ETİ ALÜMİNYUM  A.Ş.</v>
          </cell>
          <cell r="E411" t="str">
            <v>ETİ ALÜMİNYUM  A.Ş.</v>
          </cell>
          <cell r="F411" t="str">
            <v>ETİ ALÜMİNYUM  A.Ş.</v>
          </cell>
        </row>
        <row r="412">
          <cell r="A412" t="str">
            <v>2.04.00.01.00.00</v>
          </cell>
          <cell r="B412" t="str">
            <v>ETİ ALÜMİNYUM</v>
          </cell>
          <cell r="C412" t="str">
            <v>ETİ ALÜMİNYUM  A.Ş.</v>
          </cell>
          <cell r="D412" t="str">
            <v xml:space="preserve">        - Oymapınar (HES) İşletme Müdürlüğü</v>
          </cell>
          <cell r="E412" t="str">
            <v xml:space="preserve">        - Oymapınar (HES) İşletme Müdürlüğü</v>
          </cell>
          <cell r="F412" t="str">
            <v xml:space="preserve">        - Oymapınar (HES) İşletme Müdürlüğü</v>
          </cell>
        </row>
        <row r="413">
          <cell r="A413" t="str">
            <v>2.05.00.00.00.00</v>
          </cell>
          <cell r="B413" t="str">
            <v>BET Ş.FAB.</v>
          </cell>
          <cell r="C413" t="str">
            <v>BAHA ESAT TEKAND ŞEKER FAB. A.Ş.</v>
          </cell>
          <cell r="D413" t="str">
            <v>BAHA ESAT TEKAND ŞEKER FAB. A.Ş.</v>
          </cell>
          <cell r="E413" t="str">
            <v>BAHA ESAT TEKAND ŞEKER FAB. A.Ş.</v>
          </cell>
          <cell r="F413" t="str">
            <v>BAHA ESAT TEKAND ŞEKER FAB. A.Ş.</v>
          </cell>
        </row>
        <row r="414">
          <cell r="A414" t="str">
            <v>2.06.00.00.00.00</v>
          </cell>
          <cell r="B414" t="str">
            <v>ATAKÖY O.</v>
          </cell>
          <cell r="C414" t="str">
            <v>ATAKÖY OTELCİLİK A.Ş.</v>
          </cell>
          <cell r="D414" t="str">
            <v>ATAKÖY OTELCİLİK A.Ş.</v>
          </cell>
          <cell r="E414" t="str">
            <v>ATAKÖY OTELCİLİK A.Ş.</v>
          </cell>
          <cell r="F414" t="str">
            <v>ATAKÖY OTELCİLİK A.Ş.</v>
          </cell>
        </row>
        <row r="415">
          <cell r="A415" t="str">
            <v>2.07.00.00.00.00</v>
          </cell>
          <cell r="B415" t="str">
            <v>ATAKÖY T.</v>
          </cell>
          <cell r="C415" t="str">
            <v>ATAKÖY TURİZM TES.TİC. A.Ş.</v>
          </cell>
          <cell r="D415" t="str">
            <v>ATAKÖY TURİZM TES.TİC. A.Ş.</v>
          </cell>
          <cell r="E415" t="str">
            <v>ATAKÖY TURİZM TES.TİC. A.Ş.</v>
          </cell>
          <cell r="F415" t="str">
            <v>ATAKÖY TURİZM TES.TİC. A.Ş.</v>
          </cell>
        </row>
        <row r="416">
          <cell r="A416" t="str">
            <v>2.08.00.00.00.00</v>
          </cell>
          <cell r="B416" t="str">
            <v>KBİ</v>
          </cell>
          <cell r="C416" t="str">
            <v>KARADENİZ BAKIR İŞL.A.Ş.</v>
          </cell>
          <cell r="D416" t="str">
            <v xml:space="preserve">        -Genel Müdürlük</v>
          </cell>
          <cell r="E416" t="str">
            <v xml:space="preserve">        -Genel Müdürlük</v>
          </cell>
          <cell r="F416" t="str">
            <v xml:space="preserve">        -Genel Müdürlük</v>
          </cell>
        </row>
        <row r="417">
          <cell r="A417" t="str">
            <v>2.08.00.01.00.00</v>
          </cell>
          <cell r="B417" t="str">
            <v>KBİ</v>
          </cell>
          <cell r="C417" t="str">
            <v>KARADENİZ BAKIR İŞL.A.Ş.</v>
          </cell>
          <cell r="D417" t="str">
            <v xml:space="preserve">        -Murgul İşletmesi</v>
          </cell>
          <cell r="E417" t="str">
            <v xml:space="preserve">        -Murgul İşletmesi</v>
          </cell>
          <cell r="F417" t="str">
            <v xml:space="preserve">        -Murgul İşletmesi</v>
          </cell>
        </row>
        <row r="418">
          <cell r="A418" t="str">
            <v>2.08.00.02.00.00</v>
          </cell>
          <cell r="B418" t="str">
            <v>KBİ</v>
          </cell>
          <cell r="C418" t="str">
            <v>KARADENİZ BAKIR İŞL.A.Ş.</v>
          </cell>
          <cell r="D418" t="str">
            <v xml:space="preserve">        -Samsun İşletmesi </v>
          </cell>
          <cell r="E418" t="str">
            <v xml:space="preserve">        -Samsun İşletmesi </v>
          </cell>
          <cell r="F418" t="str">
            <v xml:space="preserve">        -Samsun İşletmesi </v>
          </cell>
        </row>
        <row r="419">
          <cell r="A419" t="str">
            <v>9.01.00.00.00.00</v>
          </cell>
          <cell r="B419" t="str">
            <v>BURSAGAZ</v>
          </cell>
          <cell r="C419" t="str">
            <v>BURSAGAZ Tic. ve Taah. A.Ş</v>
          </cell>
          <cell r="D419" t="str">
            <v>BURSAGAZ Bursa Şehiriçi Doğalgaz Dağıtım Tic.ve Taah. A.Ş</v>
          </cell>
          <cell r="E419" t="str">
            <v>BURSAGAZ Bursa Şehiriçi Doğalgaz Dağıtım Tic.ve Taah. A.Ş</v>
          </cell>
          <cell r="F419" t="str">
            <v>BURSAGAZ Bursa Şehiriçi Doğalgaz Dağıtım Tic.ve Taah. A.Ş</v>
          </cell>
        </row>
        <row r="420">
          <cell r="A420" t="str">
            <v>9.02.00.00.00.00</v>
          </cell>
          <cell r="B420" t="str">
            <v>ESGAZ</v>
          </cell>
          <cell r="C420" t="str">
            <v>ESGAZ Tic. ve Taah. A.Ş.</v>
          </cell>
          <cell r="D420" t="str">
            <v>ESGAZ Eskişehir Şehiriçi Doğalgaz Dağıtım Tic. Ve Taah. A.Ş.</v>
          </cell>
          <cell r="E420" t="str">
            <v>ESGAZ Eskişehir Şehiriçi Doğalgaz Dağıtım Tic. Ve Taah. A.Ş.</v>
          </cell>
          <cell r="F420" t="str">
            <v>ESGAZ Eskişehir Şehiriçi Doğalgaz Dağıtım Tic. Ve Taah. A.Ş.</v>
          </cell>
        </row>
        <row r="421">
          <cell r="A421" t="str">
            <v>9.03.00.00.00.00</v>
          </cell>
          <cell r="B421" t="str">
            <v>ETİ BAKIR</v>
          </cell>
          <cell r="C421" t="str">
            <v>ETİ BAKIR A.Ş.</v>
          </cell>
          <cell r="D421" t="str">
            <v>ETİ BAKIR A.Ş.</v>
          </cell>
          <cell r="E421" t="str">
            <v>ETİ BAKIR A.Ş.</v>
          </cell>
          <cell r="F421" t="str">
            <v>ETİ BAKIR A.Ş.</v>
          </cell>
        </row>
        <row r="422">
          <cell r="A422" t="str">
            <v>9.04.00.00.00.00</v>
          </cell>
          <cell r="B422" t="str">
            <v>DİV-HAN</v>
          </cell>
          <cell r="C422" t="str">
            <v>DİV-HAN Madenleri San. ve Tic. A.Ş.</v>
          </cell>
          <cell r="D422" t="str">
            <v>DİV-HAN Madenleri San. ve Tic. A.Ş.</v>
          </cell>
          <cell r="E422" t="str">
            <v>DİV-HAN Madenleri San. ve Tic. A.Ş.</v>
          </cell>
          <cell r="F422" t="str">
            <v>DİV-HAN Madenleri San. ve Tic. A.Ş.</v>
          </cell>
        </row>
        <row r="423">
          <cell r="A423" t="str">
            <v>1.07.01.00.00.00</v>
          </cell>
          <cell r="B423" t="str">
            <v>YENİKÖY E.</v>
          </cell>
          <cell r="C423" t="str">
            <v>Yatağan Elektrik Üretim Tesisi</v>
          </cell>
          <cell r="D423" t="str">
            <v>Yatağan Elektrik Üretim Tesisi</v>
          </cell>
          <cell r="E423" t="str">
            <v>Yatağan Elektrik Üretim Tesisi</v>
          </cell>
          <cell r="F423" t="str">
            <v>Yatağan Elektrik Üretim Tesisi</v>
          </cell>
        </row>
        <row r="424">
          <cell r="A424" t="str">
            <v>9.06.00.00.00.00</v>
          </cell>
          <cell r="B424" t="str">
            <v>GERKONSAN</v>
          </cell>
          <cell r="C424" t="str">
            <v>GERKONSAN Gerede Çelik Kons.ve Teçh. Fb. San. ve Tic. A.Ş.</v>
          </cell>
          <cell r="D424" t="str">
            <v>GERKONSAN Gerede Çelik Kons.ve Teçh. Fb. San. ve Tic. A.Ş.</v>
          </cell>
          <cell r="E424" t="str">
            <v>GERKONSAN Gerede Çelik Kons.ve Teçh. Fb. San. ve Tic. A.Ş.</v>
          </cell>
          <cell r="F424" t="str">
            <v>GERKONSAN Gerede Çelik Kons.ve Teçh. Fb. San. ve Tic. A.Ş.</v>
          </cell>
        </row>
        <row r="425">
          <cell r="A425" t="str">
            <v>9.07.00.00.00.00</v>
          </cell>
          <cell r="B425" t="str">
            <v>TAKSAN</v>
          </cell>
          <cell r="C425" t="str">
            <v>TAKSAN Takım Tezgahları San. ve Tic. A.Ş.</v>
          </cell>
          <cell r="D425" t="str">
            <v>TAKSAN Takım Tezgahları San. ve Tic. A.Ş.</v>
          </cell>
          <cell r="E425" t="str">
            <v>TAKSAN Takım Tezgahları San. ve Tic. A.Ş.</v>
          </cell>
          <cell r="F425" t="str">
            <v>TAKSAN Takım Tezgahları San. ve Tic. A.Ş.</v>
          </cell>
        </row>
        <row r="426">
          <cell r="A426" t="str">
            <v>8.01.01.00.00.00</v>
          </cell>
          <cell r="B426" t="str">
            <v>TŞFAŞ</v>
          </cell>
          <cell r="C426" t="str">
            <v>TÜRKİYE ŞEKER FABRİKALARI</v>
          </cell>
          <cell r="D426" t="str">
            <v xml:space="preserve">        -İstanbul Alım Satım Müdürlüğü</v>
          </cell>
          <cell r="E426" t="str">
            <v xml:space="preserve">        -İstanbul Alım Satım Müdürlüğü</v>
          </cell>
          <cell r="F426" t="str">
            <v xml:space="preserve">        -İstanbul Alım Satım Müdürlüğü</v>
          </cell>
        </row>
        <row r="427">
          <cell r="A427" t="str">
            <v>8.01.02.00.00.00</v>
          </cell>
          <cell r="B427" t="str">
            <v>TŞFAŞ</v>
          </cell>
          <cell r="C427" t="str">
            <v>TÜRKİYE ŞEKER FABRİKALARI</v>
          </cell>
          <cell r="D427" t="str">
            <v xml:space="preserve">        -Adapazarı Şeker Fabrikası A.Ş.</v>
          </cell>
          <cell r="E427" t="str">
            <v xml:space="preserve">        -Adapazarı Şeker Fabrikası A.Ş.</v>
          </cell>
          <cell r="F427" t="str">
            <v xml:space="preserve">        -Adapazarı Şeker Fabrikası A.Ş.</v>
          </cell>
        </row>
        <row r="428">
          <cell r="A428" t="str">
            <v>8.01.03.00.00.00</v>
          </cell>
          <cell r="B428" t="str">
            <v>TŞFAŞ</v>
          </cell>
          <cell r="C428" t="str">
            <v>TÜRKİYE ŞEKER FABRİKALARI</v>
          </cell>
          <cell r="D428" t="str">
            <v xml:space="preserve">        -Kütahya Şeker Fabrikası A.Ş.</v>
          </cell>
          <cell r="E428" t="str">
            <v xml:space="preserve">        -Kütahya Şeker Fabrikası A.Ş.</v>
          </cell>
          <cell r="F428" t="str">
            <v xml:space="preserve">        -Kütahya Şeker Fabrikası A.Ş.</v>
          </cell>
        </row>
        <row r="429">
          <cell r="A429" t="str">
            <v>8.01.04.00.00.00</v>
          </cell>
          <cell r="B429" t="str">
            <v>TŞFAŞ</v>
          </cell>
          <cell r="C429" t="str">
            <v>TÜRKİYE ŞEKER FABRİKALARI</v>
          </cell>
          <cell r="D429" t="str">
            <v xml:space="preserve">        -Afyon Şeker Fabrikası</v>
          </cell>
          <cell r="E429" t="str">
            <v xml:space="preserve">        -Afyon Şeker Fabrikası</v>
          </cell>
          <cell r="F429" t="str">
            <v xml:space="preserve">        -Afyon Şeker Fabrikası</v>
          </cell>
        </row>
        <row r="430">
          <cell r="A430" t="str">
            <v>8.01.05.00.00.00</v>
          </cell>
          <cell r="B430" t="str">
            <v>TŞFAŞ</v>
          </cell>
          <cell r="C430" t="str">
            <v>TÜRKİYE ŞEKER FABRİKALARI</v>
          </cell>
          <cell r="D430" t="str">
            <v xml:space="preserve">        -Ağrı Şeker Fabrikası</v>
          </cell>
          <cell r="E430" t="str">
            <v xml:space="preserve">        -Ağrı Şeker Fabrikası</v>
          </cell>
          <cell r="F430" t="str">
            <v xml:space="preserve">        -Ağrı Şeker Fabrikası</v>
          </cell>
        </row>
        <row r="431">
          <cell r="A431" t="str">
            <v>8.01.06.00.00.00</v>
          </cell>
          <cell r="B431" t="str">
            <v>TŞFAŞ</v>
          </cell>
          <cell r="C431" t="str">
            <v>TÜRKİYE ŞEKER FABRİKALARI</v>
          </cell>
          <cell r="D431" t="str">
            <v xml:space="preserve">        -Alpullu Şeker Fabrikası</v>
          </cell>
          <cell r="E431" t="str">
            <v xml:space="preserve">        -Alpullu Şeker Fabrikası</v>
          </cell>
          <cell r="F431" t="str">
            <v xml:space="preserve">        -Alpullu Şeker Fabrikası</v>
          </cell>
        </row>
        <row r="432">
          <cell r="A432" t="str">
            <v>8.01.07.00.00.00</v>
          </cell>
          <cell r="B432" t="str">
            <v>TŞFAŞ</v>
          </cell>
          <cell r="C432" t="str">
            <v>TÜRKİYE ŞEKER FABRİKALARI</v>
          </cell>
          <cell r="D432" t="str">
            <v xml:space="preserve">        -Ankara Şeker Fabrikası</v>
          </cell>
          <cell r="E432" t="str">
            <v xml:space="preserve">        -Ankara Şeker Fabrikası</v>
          </cell>
          <cell r="F432" t="str">
            <v xml:space="preserve">        -Ankara Şeker Fabrikası</v>
          </cell>
        </row>
        <row r="433">
          <cell r="A433" t="str">
            <v>8.01.08.00.00.00</v>
          </cell>
          <cell r="B433" t="str">
            <v>TŞFAŞ</v>
          </cell>
          <cell r="C433" t="str">
            <v>TÜRKİYE ŞEKER FABRİKALARI</v>
          </cell>
          <cell r="D433" t="str">
            <v xml:space="preserve">        -Bor Şeker Fabrikası</v>
          </cell>
          <cell r="E433" t="str">
            <v xml:space="preserve">        -Bor Şeker Fabrikası</v>
          </cell>
          <cell r="F433" t="str">
            <v xml:space="preserve">        -Bor Şeker Fabrikası</v>
          </cell>
        </row>
        <row r="434">
          <cell r="A434" t="str">
            <v>8.01.09.00.00.00</v>
          </cell>
          <cell r="B434" t="str">
            <v>TŞFAŞ</v>
          </cell>
          <cell r="C434" t="str">
            <v>TÜRKİYE ŞEKER FABRİKALARI</v>
          </cell>
          <cell r="D434" t="str">
            <v xml:space="preserve">        -Burdur Şeker Fabrikası</v>
          </cell>
          <cell r="E434" t="str">
            <v xml:space="preserve">        -Burdur Şeker Fabrikası</v>
          </cell>
          <cell r="F434" t="str">
            <v xml:space="preserve">        -Burdur Şeker Fabrikası</v>
          </cell>
        </row>
        <row r="435">
          <cell r="A435" t="str">
            <v>8.01.10.00.00.00</v>
          </cell>
          <cell r="B435" t="str">
            <v>TŞFAŞ</v>
          </cell>
          <cell r="C435" t="str">
            <v>TÜRKİYE ŞEKER FABRİKALARI</v>
          </cell>
          <cell r="D435" t="str">
            <v xml:space="preserve">        -Çarşamba Şeker Fabrikası</v>
          </cell>
          <cell r="E435" t="str">
            <v xml:space="preserve">        -Çarşamba Şeker Fabrikası</v>
          </cell>
          <cell r="F435" t="str">
            <v xml:space="preserve">        -Çarşamba Şeker Fabrikası</v>
          </cell>
        </row>
        <row r="436">
          <cell r="A436" t="str">
            <v>8.01.11.00.00.00</v>
          </cell>
          <cell r="B436" t="str">
            <v>TŞFAŞ</v>
          </cell>
          <cell r="C436" t="str">
            <v>TÜRKİYE ŞEKER FABRİKALARI</v>
          </cell>
          <cell r="D436" t="str">
            <v xml:space="preserve">        -Çorum Şeker Fabrikası</v>
          </cell>
          <cell r="E436" t="str">
            <v xml:space="preserve">        -Çorum Şeker Fabrikası</v>
          </cell>
          <cell r="F436" t="str">
            <v xml:space="preserve">        -Çorum Şeker Fabrikası</v>
          </cell>
        </row>
        <row r="437">
          <cell r="A437" t="str">
            <v>8.01.12.00.00.00</v>
          </cell>
          <cell r="B437" t="str">
            <v>TŞFAŞ</v>
          </cell>
          <cell r="C437" t="str">
            <v>TÜRKİYE ŞEKER FABRİKALARI</v>
          </cell>
          <cell r="D437" t="str">
            <v xml:space="preserve">        -Elazığ Şeker Fabrikası</v>
          </cell>
          <cell r="E437" t="str">
            <v xml:space="preserve">        -Elazığ Şeker Fabrikası</v>
          </cell>
          <cell r="F437" t="str">
            <v xml:space="preserve">        -Elazığ Şeker Fabrikası</v>
          </cell>
        </row>
        <row r="438">
          <cell r="A438" t="str">
            <v>8.01.13.00.00.00</v>
          </cell>
          <cell r="B438" t="str">
            <v>TŞFAŞ</v>
          </cell>
          <cell r="C438" t="str">
            <v>TÜRKİYE ŞEKER FABRİKALARI</v>
          </cell>
          <cell r="D438" t="str">
            <v xml:space="preserve">        -Elbistan Şeker Fabrikası</v>
          </cell>
          <cell r="E438" t="str">
            <v xml:space="preserve">        -Elbistan Şeker Fabrikası</v>
          </cell>
          <cell r="F438" t="str">
            <v xml:space="preserve">        -Elbistan Şeker Fabrikası</v>
          </cell>
        </row>
        <row r="439">
          <cell r="A439" t="str">
            <v>8.01.14.00.00.00</v>
          </cell>
          <cell r="B439" t="str">
            <v>TŞFAŞ</v>
          </cell>
          <cell r="C439" t="str">
            <v>TÜRKİYE ŞEKER FABRİKALARI</v>
          </cell>
          <cell r="D439" t="str">
            <v xml:space="preserve">        -Erciş Şeker Fabrikası</v>
          </cell>
          <cell r="E439" t="str">
            <v xml:space="preserve">        -Erciş Şeker Fabrikası</v>
          </cell>
          <cell r="F439" t="str">
            <v xml:space="preserve">        -Erciş Şeker Fabrikası</v>
          </cell>
        </row>
        <row r="440">
          <cell r="A440" t="str">
            <v>8.01.15.00.00.00</v>
          </cell>
          <cell r="B440" t="str">
            <v>TŞFAŞ</v>
          </cell>
          <cell r="C440" t="str">
            <v>TÜRKİYE ŞEKER FABRİKALARI</v>
          </cell>
          <cell r="D440" t="str">
            <v xml:space="preserve">        -Ereğli Şeker Fabrikası</v>
          </cell>
          <cell r="E440" t="str">
            <v xml:space="preserve">        -Ereğli Şeker Fabrikası</v>
          </cell>
          <cell r="F440" t="str">
            <v xml:space="preserve">        -Ereğli Şeker Fabrikası</v>
          </cell>
        </row>
        <row r="441">
          <cell r="A441" t="str">
            <v>8.01.16.00.00.00</v>
          </cell>
          <cell r="B441" t="str">
            <v>TŞFAŞ</v>
          </cell>
          <cell r="C441" t="str">
            <v>TÜRKİYE ŞEKER FABRİKALARI</v>
          </cell>
          <cell r="D441" t="str">
            <v xml:space="preserve">        -Erzincan Şeker Fabrikası</v>
          </cell>
          <cell r="E441" t="str">
            <v xml:space="preserve">        -Erzincan Şeker Fabrikası</v>
          </cell>
          <cell r="F441" t="str">
            <v xml:space="preserve">        -Erzincan Şeker Fabrikası</v>
          </cell>
        </row>
        <row r="442">
          <cell r="A442" t="str">
            <v>8.01.17.00.00.00</v>
          </cell>
          <cell r="B442" t="str">
            <v>TŞFAŞ</v>
          </cell>
          <cell r="C442" t="str">
            <v>TÜRKİYE ŞEKER FABRİKALARI</v>
          </cell>
          <cell r="D442" t="str">
            <v xml:space="preserve">        -Erzurum Şeker Fabrikası + A</v>
          </cell>
          <cell r="E442" t="str">
            <v xml:space="preserve">        -Erzurum Şeker Fabrikası + A</v>
          </cell>
          <cell r="F442" t="str">
            <v xml:space="preserve">        -Erzurum Şeker Fabrikası + A</v>
          </cell>
        </row>
        <row r="443">
          <cell r="A443" t="str">
            <v>8.01.18.00.00.00</v>
          </cell>
          <cell r="B443" t="str">
            <v>TŞFAŞ</v>
          </cell>
          <cell r="C443" t="str">
            <v>TÜRKİYE ŞEKER FABRİKALARI</v>
          </cell>
          <cell r="D443" t="str">
            <v xml:space="preserve">        -Eskişehir Şeker Fabrikası + A</v>
          </cell>
          <cell r="E443" t="str">
            <v xml:space="preserve">        -Eskişehir Şeker Fabrikası + A</v>
          </cell>
          <cell r="F443" t="str">
            <v xml:space="preserve">        -Eskişehir Şeker Fabrikası + A</v>
          </cell>
        </row>
        <row r="444">
          <cell r="A444" t="str">
            <v>8.01.19.00.00.00</v>
          </cell>
          <cell r="B444" t="str">
            <v>TŞFAŞ</v>
          </cell>
          <cell r="C444" t="str">
            <v>TÜRKİYE ŞEKER FABRİKALARI</v>
          </cell>
          <cell r="D444" t="str">
            <v xml:space="preserve">        -Ilgın Şeker Fabrikası</v>
          </cell>
          <cell r="E444" t="str">
            <v xml:space="preserve">        -Ilgın Şeker Fabrikası</v>
          </cell>
          <cell r="F444" t="str">
            <v xml:space="preserve">        -Ilgın Şeker Fabrikası</v>
          </cell>
        </row>
        <row r="445">
          <cell r="A445" t="str">
            <v>8.01.20.00.00.00</v>
          </cell>
          <cell r="B445" t="str">
            <v>TŞFAŞ</v>
          </cell>
          <cell r="C445" t="str">
            <v>TÜRKİYE ŞEKER FABRİKALARI</v>
          </cell>
          <cell r="D445" t="str">
            <v xml:space="preserve">        -Kars Şeker Fabrikası</v>
          </cell>
          <cell r="E445" t="str">
            <v xml:space="preserve">        -Kars Şeker Fabrikası</v>
          </cell>
          <cell r="F445" t="str">
            <v xml:space="preserve">        -Kars Şeker Fabrikası</v>
          </cell>
        </row>
        <row r="446">
          <cell r="A446" t="str">
            <v>8.01.21.00.00.00</v>
          </cell>
          <cell r="B446" t="str">
            <v>TŞFAŞ</v>
          </cell>
          <cell r="C446" t="str">
            <v>TÜRKİYE ŞEKER FABRİKALARI</v>
          </cell>
          <cell r="D446" t="str">
            <v xml:space="preserve">        -Kastamonu Şeker Fabrikası</v>
          </cell>
          <cell r="E446" t="str">
            <v xml:space="preserve">        -Kastamonu Şeker Fabrikası</v>
          </cell>
          <cell r="F446" t="str">
            <v xml:space="preserve">        -Kastamonu Şeker Fabrikası</v>
          </cell>
        </row>
        <row r="447">
          <cell r="A447" t="str">
            <v>8.01.22.00.00.00</v>
          </cell>
          <cell r="B447" t="str">
            <v>TŞFAŞ</v>
          </cell>
          <cell r="C447" t="str">
            <v>TÜRKİYE ŞEKER FABRİKALARI</v>
          </cell>
          <cell r="D447" t="str">
            <v xml:space="preserve">        -Kırşehir Şeker Fabrikası</v>
          </cell>
          <cell r="E447" t="str">
            <v xml:space="preserve">        -Kırşehir Şeker Fabrikası</v>
          </cell>
          <cell r="F447" t="str">
            <v xml:space="preserve">        -Kırşehir Şeker Fabrikası</v>
          </cell>
        </row>
        <row r="448">
          <cell r="A448" t="str">
            <v>8.01.23.00.00.00</v>
          </cell>
          <cell r="B448" t="str">
            <v>TŞFAŞ</v>
          </cell>
          <cell r="C448" t="str">
            <v>TÜRKİYE ŞEKER FABRİKALARI</v>
          </cell>
          <cell r="D448" t="str">
            <v xml:space="preserve">        -Malatya Şeker Fabrikası + A</v>
          </cell>
          <cell r="E448" t="str">
            <v xml:space="preserve">        -Malatya Şeker Fabrikası + A</v>
          </cell>
          <cell r="F448" t="str">
            <v xml:space="preserve">        -Malatya Şeker Fabrikası + A</v>
          </cell>
        </row>
        <row r="449">
          <cell r="A449" t="str">
            <v>8.01.24.00.00.00</v>
          </cell>
          <cell r="B449" t="str">
            <v>TŞFAŞ</v>
          </cell>
          <cell r="C449" t="str">
            <v>TÜRKİYE ŞEKER FABRİKALARI</v>
          </cell>
          <cell r="D449" t="str">
            <v xml:space="preserve">        -Muş Şeker Fabrikası</v>
          </cell>
          <cell r="E449" t="str">
            <v xml:space="preserve">        -Muş Şeker Fabrikası</v>
          </cell>
          <cell r="F449" t="str">
            <v xml:space="preserve">        -Muş Şeker Fabrikası</v>
          </cell>
        </row>
        <row r="450">
          <cell r="A450" t="str">
            <v>8.01.25.00.00.00</v>
          </cell>
          <cell r="B450" t="str">
            <v>TŞFAŞ</v>
          </cell>
          <cell r="C450" t="str">
            <v>TÜRKİYE ŞEKER FABRİKALARI</v>
          </cell>
          <cell r="D450" t="str">
            <v xml:space="preserve">        -Susurluk Şeker Fabrikası</v>
          </cell>
          <cell r="E450" t="str">
            <v xml:space="preserve">        -Susurluk Şeker Fabrikası</v>
          </cell>
          <cell r="F450" t="str">
            <v xml:space="preserve">        -Susurluk Şeker Fabrikası</v>
          </cell>
        </row>
        <row r="451">
          <cell r="A451" t="str">
            <v>8.01.26.00.00.00</v>
          </cell>
          <cell r="B451" t="str">
            <v>TŞFAŞ</v>
          </cell>
          <cell r="C451" t="str">
            <v>TÜRKİYE ŞEKER FABRİKALARI</v>
          </cell>
          <cell r="D451" t="str">
            <v xml:space="preserve">        -Turhal Şeker Fabrikası + A</v>
          </cell>
          <cell r="E451" t="str">
            <v xml:space="preserve">        -Turhal Şeker Fabrikası + A</v>
          </cell>
          <cell r="F451" t="str">
            <v xml:space="preserve">        -Turhal Şeker Fabrikası + A</v>
          </cell>
        </row>
        <row r="452">
          <cell r="A452" t="str">
            <v>8.01.27.00.00.00</v>
          </cell>
          <cell r="B452" t="str">
            <v>TŞFAŞ</v>
          </cell>
          <cell r="C452" t="str">
            <v>TÜRKİYE ŞEKER FABRİKALARI</v>
          </cell>
          <cell r="D452" t="str">
            <v xml:space="preserve">        -Uşak Şeker Fabrikası</v>
          </cell>
          <cell r="E452" t="str">
            <v xml:space="preserve">        -Uşak Şeker Fabrikası</v>
          </cell>
          <cell r="F452" t="str">
            <v xml:space="preserve">        -Uşak Şeker Fabrikası</v>
          </cell>
        </row>
        <row r="453">
          <cell r="A453" t="str">
            <v>8.01.28.00.00.00</v>
          </cell>
          <cell r="B453" t="str">
            <v>TŞFAŞ</v>
          </cell>
          <cell r="C453" t="str">
            <v>TÜRKİYE ŞEKER FABRİKALARI</v>
          </cell>
          <cell r="D453" t="str">
            <v xml:space="preserve">        -Yozgat Şeker Fabrikası</v>
          </cell>
          <cell r="E453" t="str">
            <v xml:space="preserve">        -Yozgat Şeker Fabrikası</v>
          </cell>
          <cell r="F453" t="str">
            <v xml:space="preserve">        -Yozgat Şeker Fabrikası</v>
          </cell>
        </row>
        <row r="454">
          <cell r="A454" t="str">
            <v>8.01.29.00.00.00</v>
          </cell>
          <cell r="B454" t="str">
            <v>TŞFAŞ</v>
          </cell>
          <cell r="C454" t="str">
            <v>TÜRKİYE ŞEKER FABRİKALARI</v>
          </cell>
          <cell r="D454" t="str">
            <v xml:space="preserve">        -Afyon Makine Fabrikası</v>
          </cell>
          <cell r="E454" t="str">
            <v xml:space="preserve">        -Afyon Makine Fabrikası</v>
          </cell>
          <cell r="F454" t="str">
            <v xml:space="preserve">        -Afyon Makine Fabrikası</v>
          </cell>
        </row>
        <row r="455">
          <cell r="A455" t="str">
            <v>8.01.30.00.00.00</v>
          </cell>
          <cell r="B455" t="str">
            <v>TŞFAŞ</v>
          </cell>
          <cell r="C455" t="str">
            <v>TÜRKİYE ŞEKER FABRİKALARI</v>
          </cell>
          <cell r="D455" t="str">
            <v xml:space="preserve">        -Ankara Makine Fabrikası</v>
          </cell>
          <cell r="E455" t="str">
            <v xml:space="preserve">        -Ankara Makine Fabrikası</v>
          </cell>
          <cell r="F455" t="str">
            <v xml:space="preserve">        -Ankara Makine Fabrikası</v>
          </cell>
        </row>
        <row r="456">
          <cell r="A456" t="str">
            <v>8.01.31.00.00.00</v>
          </cell>
          <cell r="B456" t="str">
            <v>TŞFAŞ</v>
          </cell>
          <cell r="C456" t="str">
            <v>TÜRKİYE ŞEKER FABRİKALARI</v>
          </cell>
          <cell r="D456" t="str">
            <v xml:space="preserve">        -Erzincan Makine Fabrikası</v>
          </cell>
          <cell r="E456" t="str">
            <v xml:space="preserve">        -Erzincan Makine Fabrikası</v>
          </cell>
          <cell r="F456" t="str">
            <v xml:space="preserve">        -Erzincan Makine Fabrikası</v>
          </cell>
        </row>
        <row r="457">
          <cell r="A457" t="str">
            <v>8.01.32.00.00.00</v>
          </cell>
          <cell r="B457" t="str">
            <v>TŞFAŞ</v>
          </cell>
          <cell r="C457" t="str">
            <v>TÜRKİYE ŞEKER FABRİKALARI</v>
          </cell>
          <cell r="D457" t="str">
            <v xml:space="preserve">        -Eskişehir Makine Fabrikası</v>
          </cell>
          <cell r="E457" t="str">
            <v xml:space="preserve">        -Eskişehir Makine Fabrikası</v>
          </cell>
          <cell r="F457" t="str">
            <v xml:space="preserve">        -Eskişehir Makine Fabrikası</v>
          </cell>
        </row>
        <row r="458">
          <cell r="A458" t="str">
            <v>8.01.33.00.00.00</v>
          </cell>
          <cell r="B458" t="str">
            <v>TŞFAŞ</v>
          </cell>
          <cell r="C458" t="str">
            <v>TÜRKİYE ŞEKER FABRİKALARI</v>
          </cell>
          <cell r="D458" t="str">
            <v xml:space="preserve">        -Turhal Makine Fabrikası</v>
          </cell>
          <cell r="E458" t="str">
            <v xml:space="preserve">        -Turhal Makine Fabrikası</v>
          </cell>
          <cell r="F458" t="str">
            <v xml:space="preserve">        -Turhal Makine Fabrikası</v>
          </cell>
        </row>
        <row r="459">
          <cell r="A459" t="str">
            <v>8.01.34.00.00.00</v>
          </cell>
          <cell r="B459" t="str">
            <v>TŞFAŞ</v>
          </cell>
          <cell r="C459" t="str">
            <v>TÜRKİYE ŞEKER FABRİKALARI</v>
          </cell>
          <cell r="D459" t="str">
            <v xml:space="preserve">        -Elktromanyetik Aygıtlar Fabrikası</v>
          </cell>
          <cell r="E459" t="str">
            <v xml:space="preserve">        -Elktromanyetik Aygıtlar Fabrikası</v>
          </cell>
          <cell r="F459" t="str">
            <v xml:space="preserve">        -Elktromanyetik Aygıtlar Fabrikası</v>
          </cell>
        </row>
        <row r="460">
          <cell r="A460" t="str">
            <v>8.01.35.00.00.00</v>
          </cell>
          <cell r="B460" t="str">
            <v>TŞFAŞ</v>
          </cell>
          <cell r="C460" t="str">
            <v>TÜRKİYE ŞEKER FABRİKALARI</v>
          </cell>
          <cell r="D460" t="str">
            <v xml:space="preserve">        -Tohum İşleme Fabrikası</v>
          </cell>
          <cell r="E460" t="str">
            <v xml:space="preserve">        -Tohum İşleme Fabrikası</v>
          </cell>
          <cell r="F460" t="str">
            <v xml:space="preserve">        -Tohum İşleme Fabrikası</v>
          </cell>
        </row>
        <row r="461">
          <cell r="A461" t="str">
            <v>8.01.36.00.00.00</v>
          </cell>
          <cell r="B461" t="str">
            <v>TŞFAŞ</v>
          </cell>
          <cell r="C461" t="str">
            <v>TÜRKİYE ŞEKER FABRİKALARI</v>
          </cell>
          <cell r="D461" t="str">
            <v xml:space="preserve">        -Afyon Tarım İşletmesi</v>
          </cell>
          <cell r="E461" t="str">
            <v xml:space="preserve">        -Afyon Tarım İşletmesi</v>
          </cell>
          <cell r="F461" t="str">
            <v xml:space="preserve">        -Afyon Tarım İşletmesi</v>
          </cell>
        </row>
        <row r="462">
          <cell r="A462" t="str">
            <v>8.01.37.00.00.00</v>
          </cell>
          <cell r="B462" t="str">
            <v>TŞFAŞ</v>
          </cell>
          <cell r="C462" t="str">
            <v>TÜRKİYE ŞEKER FABRİKALARI</v>
          </cell>
          <cell r="D462" t="str">
            <v xml:space="preserve">        -Sarımsaklı Tarım İşletmesi</v>
          </cell>
          <cell r="E462" t="str">
            <v xml:space="preserve">        -Sarımsaklı Tarım İşletmesi</v>
          </cell>
          <cell r="F462" t="str">
            <v xml:space="preserve">        -Sarımsaklı Tarım İşletmesi</v>
          </cell>
        </row>
        <row r="463">
          <cell r="A463" t="str">
            <v>8.01.38.00.00.00</v>
          </cell>
          <cell r="B463" t="str">
            <v>TŞFAŞ</v>
          </cell>
          <cell r="C463" t="str">
            <v>TÜRKİYE ŞEKER FABRİKALARI</v>
          </cell>
          <cell r="D463" t="str">
            <v xml:space="preserve">        -Şeker Enstitüsü</v>
          </cell>
          <cell r="E463" t="str">
            <v xml:space="preserve">        -Şeker Enstitüsü</v>
          </cell>
          <cell r="F463" t="str">
            <v xml:space="preserve">        -Şeker Enstitüsü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PE Cost Print   (For printg p)"/>
      <sheetName val="BP NEW 03 (2)"/>
      <sheetName val="Sheet7"/>
      <sheetName val="B.S Notes Print (4)"/>
      <sheetName val="Finance Cost"/>
      <sheetName val="P&amp;L Print"/>
      <sheetName val="B.S Print"/>
      <sheetName val="equity after IFRS print"/>
      <sheetName val="CF Print"/>
      <sheetName val="P&amp;L Notes Print"/>
      <sheetName val="PPE Cost Print  "/>
      <sheetName val="PPE Dep Print"/>
      <sheetName val="ROU Print"/>
      <sheetName val="B.S Notes Print"/>
      <sheetName val="B.S Notes Print (2)"/>
      <sheetName val="B.S Notes Print (3)"/>
      <sheetName val="CSE - P&amp;L Print"/>
      <sheetName val="CSE - B.S Print"/>
      <sheetName val="CSE - equity after IFRS print"/>
      <sheetName val="CSE - CF Print"/>
      <sheetName val="BS NOTES 3"/>
      <sheetName val="CS"/>
      <sheetName val="B.S "/>
      <sheetName val="B.S Notes"/>
      <sheetName val="Rec-PPE"/>
      <sheetName val="PPEnew"/>
      <sheetName val="Cash Flow Detail (3)"/>
      <sheetName val="Sheet11"/>
      <sheetName val="TB"/>
      <sheetName val="P&amp;l "/>
      <sheetName val="Check List"/>
      <sheetName val="P&amp;L Notes"/>
      <sheetName val="Sheet8"/>
      <sheetName val="Sheet9"/>
      <sheetName val="Sheet6"/>
      <sheetName val="TB23"/>
      <sheetName val="CS 23"/>
      <sheetName val="Cash Flow Detail"/>
      <sheetName val="CuAC working"/>
      <sheetName val="Cash Flow Detail (2)"/>
      <sheetName val="Sheet5"/>
      <sheetName val="Cu AC Print"/>
      <sheetName val="Differnce"/>
      <sheetName val="Rec -Inter Co."/>
      <sheetName val="DD1 TB"/>
      <sheetName val="DD2 TB"/>
      <sheetName val="DD3 TB"/>
      <sheetName val="Sheet3"/>
      <sheetName val="DD4 TB"/>
      <sheetName val="Gen TB"/>
      <sheetName val="Tra TB"/>
      <sheetName val="AM&amp;TB"/>
      <sheetName val="Pro TB"/>
      <sheetName val="HQ TB"/>
      <sheetName val="DD1CS"/>
      <sheetName val="DD2 CS"/>
      <sheetName val="DD3 CS"/>
      <sheetName val="DD4 CS"/>
      <sheetName val="Gen CS"/>
      <sheetName val="Tra CS"/>
      <sheetName val="AM &amp; CS"/>
      <sheetName val="Pro CS"/>
      <sheetName val="HQ CS"/>
      <sheetName val="BP NEW 2021 -1"/>
      <sheetName val="BP NEW -2021- 2"/>
      <sheetName val="Cr Gr DA"/>
      <sheetName val="PR "/>
      <sheetName val="DSCR"/>
      <sheetName val="Ratio Analysis"/>
      <sheetName val="Sheet10"/>
      <sheetName val="Sheet2"/>
      <sheetName val="Chart2"/>
      <sheetName val="Data"/>
      <sheetName val="unit generation 2021"/>
      <sheetName val="unit gene 2020"/>
      <sheetName val="Sheet1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C9">
            <v>1100</v>
          </cell>
          <cell r="D9" t="str">
            <v>Energy Sales - Generation to Transmission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C10" t="str">
            <v>1101</v>
          </cell>
          <cell r="D10" t="str">
            <v>Energy Sales - Asset Management to Transmission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C11">
            <v>1105</v>
          </cell>
          <cell r="D11" t="str">
            <v>Energy Sales - Transmission to Distribution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C12">
            <v>1110</v>
          </cell>
          <cell r="D12" t="str">
            <v>Electricity Sales Heavy Supply Account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C13">
            <v>1111</v>
          </cell>
          <cell r="D13" t="str">
            <v>Electricity Sales Heavy Supply  - LECO Account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C14">
            <v>1120</v>
          </cell>
          <cell r="D14" t="str">
            <v>Electricity Sales Ordinary Supply Account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1125</v>
          </cell>
          <cell r="D15" t="str">
            <v>Fixed Charges on Electricity Bills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C16">
            <v>1200</v>
          </cell>
          <cell r="D16" t="str">
            <v>Fuel Surcharge Account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D17" t="str">
            <v>SUB TOTAL OF TURNOVER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D18" t="str">
            <v xml:space="preserve"> INTEREST INCOME</v>
          </cell>
          <cell r="K18">
            <v>0</v>
          </cell>
        </row>
        <row r="19">
          <cell r="C19">
            <v>1312</v>
          </cell>
          <cell r="D19" t="str">
            <v xml:space="preserve">Small &amp; Medium Scales Industries &amp; Business Loan Interest- Ordinary </v>
          </cell>
        </row>
        <row r="20">
          <cell r="C20">
            <v>1313</v>
          </cell>
          <cell r="D20" t="str">
            <v>Small &amp; Medium Scales Industries &amp; Business Loan Interest- Bulk</v>
          </cell>
        </row>
        <row r="21">
          <cell r="C21">
            <v>1400</v>
          </cell>
          <cell r="D21" t="str">
            <v>Interest on Investment Account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C22" t="str">
            <v>1410</v>
          </cell>
          <cell r="D22" t="str">
            <v>Interest Income on Related Party Loans*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C23">
            <v>1420</v>
          </cell>
          <cell r="D23" t="str">
            <v>Interest on Staff Loan Account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6970120.0899999999</v>
          </cell>
          <cell r="K23">
            <v>6970120.0899999999</v>
          </cell>
        </row>
        <row r="24">
          <cell r="C24" t="str">
            <v xml:space="preserve">1421               </v>
          </cell>
          <cell r="D24" t="str">
            <v xml:space="preserve">Interest on Transport Loan Account                        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1028394.06</v>
          </cell>
          <cell r="K24">
            <v>1028394.06</v>
          </cell>
        </row>
        <row r="25">
          <cell r="C25" t="str">
            <v xml:space="preserve">1422               </v>
          </cell>
          <cell r="D25" t="str">
            <v xml:space="preserve">Interest on School Book Loan Account       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421.68</v>
          </cell>
          <cell r="K25">
            <v>421.68</v>
          </cell>
        </row>
        <row r="26">
          <cell r="C26" t="str">
            <v>1423</v>
          </cell>
          <cell r="D26" t="str">
            <v>Interest on Service connection Loan Account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C27">
            <v>1424</v>
          </cell>
          <cell r="D27" t="str">
            <v>Interest on Distress Loan II Account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15006.1</v>
          </cell>
          <cell r="K27">
            <v>15006.1</v>
          </cell>
        </row>
        <row r="28">
          <cell r="C28">
            <v>1425</v>
          </cell>
          <cell r="D28" t="str">
            <v>Rebate on Long Term Loan Interest Account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C29">
            <v>1426</v>
          </cell>
          <cell r="D29" t="str">
            <v>Interest on Solar Panel Photovoltaic (PV) Energy System Loan Account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37953.69</v>
          </cell>
          <cell r="K29">
            <v>37953.69</v>
          </cell>
        </row>
        <row r="30">
          <cell r="C30">
            <v>1427</v>
          </cell>
          <cell r="D30" t="str">
            <v>Interest income on 2% retention deposited for solar variable tariff scheme.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C31">
            <v>1435</v>
          </cell>
          <cell r="D31" t="str">
            <v>Interest Income on Fair Valuation of Staff Loan Account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D32" t="str">
            <v>SUB TOTAL OF INTEREST INCOME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8051895.6200000001</v>
          </cell>
          <cell r="K32">
            <v>8051895.6200000001</v>
          </cell>
        </row>
        <row r="33">
          <cell r="D33" t="str">
            <v>DIVIDEND INCOME</v>
          </cell>
          <cell r="K33">
            <v>0</v>
          </cell>
        </row>
        <row r="34">
          <cell r="C34">
            <v>1210</v>
          </cell>
          <cell r="D34" t="str">
            <v xml:space="preserve">Dividends Account  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C35">
            <v>1211</v>
          </cell>
          <cell r="D35" t="str">
            <v xml:space="preserve">Dividends Received From LECO Account.  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C36">
            <v>1212</v>
          </cell>
          <cell r="D36" t="str">
            <v>Dividends received from other subsidiaries account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D37" t="str">
            <v>SUB TOTAL OF DIVIDEND INCOME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D38" t="str">
            <v xml:space="preserve"> OVERHEAD RECOVERIES</v>
          </cell>
          <cell r="K38">
            <v>0</v>
          </cell>
        </row>
        <row r="39">
          <cell r="C39">
            <v>1330</v>
          </cell>
          <cell r="D39" t="str">
            <v>Overhead Recoveries Account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C40">
            <v>1510</v>
          </cell>
          <cell r="D40" t="str">
            <v>Recoveries on House Rent Account</v>
          </cell>
          <cell r="E40">
            <v>82693</v>
          </cell>
          <cell r="F40">
            <v>91372.5</v>
          </cell>
          <cell r="G40">
            <v>0</v>
          </cell>
          <cell r="H40">
            <v>365274.31</v>
          </cell>
          <cell r="I40">
            <v>0</v>
          </cell>
          <cell r="J40">
            <v>0</v>
          </cell>
          <cell r="K40">
            <v>539339.81000000006</v>
          </cell>
        </row>
        <row r="41">
          <cell r="C41">
            <v>1520</v>
          </cell>
          <cell r="D41" t="str">
            <v>Recoveries on Telephone Account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C42">
            <v>1530</v>
          </cell>
          <cell r="D42" t="str">
            <v>Recoveries on Use of Motor Vehicle Account</v>
          </cell>
          <cell r="E42">
            <v>0</v>
          </cell>
          <cell r="F42">
            <v>2450</v>
          </cell>
          <cell r="G42">
            <v>2450</v>
          </cell>
          <cell r="H42">
            <v>7350</v>
          </cell>
          <cell r="I42">
            <v>3850</v>
          </cell>
          <cell r="J42">
            <v>4900</v>
          </cell>
          <cell r="K42">
            <v>21000</v>
          </cell>
        </row>
        <row r="43">
          <cell r="C43">
            <v>1540</v>
          </cell>
          <cell r="D43" t="str">
            <v>Recoveries on Circuit Bungalow Account</v>
          </cell>
          <cell r="E43">
            <v>0</v>
          </cell>
          <cell r="F43">
            <v>0</v>
          </cell>
          <cell r="G43">
            <v>0</v>
          </cell>
          <cell r="H43">
            <v>12500</v>
          </cell>
          <cell r="I43">
            <v>0</v>
          </cell>
          <cell r="J43">
            <v>0</v>
          </cell>
          <cell r="K43">
            <v>12500</v>
          </cell>
        </row>
        <row r="44">
          <cell r="C44">
            <v>1550</v>
          </cell>
          <cell r="D44" t="str">
            <v>Recoveries of Damages to the CEB Assets Account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C45" t="str">
            <v>1551</v>
          </cell>
          <cell r="D45" t="str">
            <v>Income on amortized Government Grant***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C46" t="str">
            <v>1552</v>
          </cell>
          <cell r="D46" t="str">
            <v>Income on amortized Consumer Contribution***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C47">
            <v>1553</v>
          </cell>
          <cell r="D47" t="str">
            <v>Government Grants Related to Income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D48" t="str">
            <v>SUB TOTAL OF OVERHEAD RECOVERIES</v>
          </cell>
          <cell r="E48">
            <v>82693</v>
          </cell>
          <cell r="F48">
            <v>93822.5</v>
          </cell>
          <cell r="G48">
            <v>2450</v>
          </cell>
          <cell r="H48">
            <v>385124.31</v>
          </cell>
          <cell r="I48">
            <v>3850</v>
          </cell>
          <cell r="J48">
            <v>4900</v>
          </cell>
          <cell r="K48">
            <v>572839.81000000006</v>
          </cell>
        </row>
        <row r="49">
          <cell r="D49" t="str">
            <v xml:space="preserve"> PROFIT / LOSS ON DISPOSAl OF PPE</v>
          </cell>
        </row>
        <row r="50">
          <cell r="C50">
            <v>1610</v>
          </cell>
          <cell r="D50" t="str">
            <v xml:space="preserve">Sale of  Fixed Assets (Disposal) Account 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C51">
            <v>1620</v>
          </cell>
          <cell r="D51" t="str">
            <v>Sale of  Scrap Account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C52">
            <v>1630</v>
          </cell>
          <cell r="D52" t="str">
            <v>Sale of Stock Items Account</v>
          </cell>
          <cell r="E52">
            <v>0</v>
          </cell>
          <cell r="F52">
            <v>0</v>
          </cell>
          <cell r="G52">
            <v>41000</v>
          </cell>
          <cell r="H52">
            <v>0</v>
          </cell>
          <cell r="I52">
            <v>0</v>
          </cell>
          <cell r="J52">
            <v>0</v>
          </cell>
          <cell r="K52">
            <v>41000</v>
          </cell>
        </row>
        <row r="53">
          <cell r="D53" t="str">
            <v>SUB TOTAL OF PROFIT / LOSS ON DISPOSAl OF PPE</v>
          </cell>
          <cell r="E53">
            <v>0</v>
          </cell>
          <cell r="F53">
            <v>0</v>
          </cell>
          <cell r="G53">
            <v>41000</v>
          </cell>
          <cell r="H53">
            <v>0</v>
          </cell>
          <cell r="I53">
            <v>0</v>
          </cell>
          <cell r="J53">
            <v>0</v>
          </cell>
          <cell r="K53">
            <v>41000</v>
          </cell>
        </row>
        <row r="54">
          <cell r="D54" t="str">
            <v xml:space="preserve"> MISSELANIOUS INCOME</v>
          </cell>
          <cell r="K54">
            <v>0</v>
          </cell>
        </row>
        <row r="55">
          <cell r="C55">
            <v>1130</v>
          </cell>
          <cell r="D55" t="str">
            <v>Surcharge on Electricity Bills Account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C56">
            <v>1300</v>
          </cell>
          <cell r="D56" t="str">
            <v>Miscellaneous Income Account</v>
          </cell>
          <cell r="E56">
            <v>0</v>
          </cell>
          <cell r="F56">
            <v>2710527.65</v>
          </cell>
          <cell r="G56">
            <v>0</v>
          </cell>
          <cell r="H56">
            <v>622197.11</v>
          </cell>
          <cell r="I56">
            <v>0</v>
          </cell>
          <cell r="J56">
            <v>7370</v>
          </cell>
          <cell r="K56">
            <v>3340094.76</v>
          </cell>
        </row>
        <row r="57">
          <cell r="C57">
            <v>1301</v>
          </cell>
          <cell r="D57" t="str">
            <v>Processing fee of IPP's account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C58">
            <v>1305</v>
          </cell>
          <cell r="D58" t="str">
            <v>Samurdhy loan interest  Account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C59">
            <v>1306</v>
          </cell>
          <cell r="D59" t="str">
            <v>Domestic Service Connection Loan Interest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C60">
            <v>1307</v>
          </cell>
          <cell r="D60" t="str">
            <v>Industrial &amp; Commercial Business Loan Interest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C61">
            <v>1308</v>
          </cell>
          <cell r="D61" t="str">
            <v>Domestic Service Connection Loan (Stage II) Interest Account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C62">
            <v>1309</v>
          </cell>
          <cell r="D62" t="str">
            <v>Industrial &amp; Commercial Business Loan (Stage II) Interest Account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C63">
            <v>1310</v>
          </cell>
          <cell r="D63" t="str">
            <v>G.D. Income / G.I. Income Account</v>
          </cell>
          <cell r="E63">
            <v>0</v>
          </cell>
          <cell r="F63">
            <v>0</v>
          </cell>
          <cell r="G63">
            <v>0</v>
          </cell>
          <cell r="H63">
            <v>96706787.709999993</v>
          </cell>
          <cell r="I63">
            <v>0</v>
          </cell>
          <cell r="J63">
            <v>0</v>
          </cell>
          <cell r="K63">
            <v>96706787.709999993</v>
          </cell>
        </row>
        <row r="64">
          <cell r="C64">
            <v>1311</v>
          </cell>
          <cell r="D64" t="str">
            <v xml:space="preserve">Domestic Service Connection Loan (Stage III) Interest 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C65">
            <v>1315</v>
          </cell>
          <cell r="D65" t="str">
            <v>Liquidated  Damages Account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C66" t="str">
            <v>1316</v>
          </cell>
          <cell r="D66" t="str">
            <v>Rental Income Generated From Hiring Mobile Diesel Generators in AssetS Management Account</v>
          </cell>
          <cell r="E66">
            <v>0</v>
          </cell>
          <cell r="F66">
            <v>0</v>
          </cell>
          <cell r="G66">
            <v>0</v>
          </cell>
          <cell r="H66">
            <v>27013392.559999999</v>
          </cell>
          <cell r="I66">
            <v>0</v>
          </cell>
          <cell r="J66">
            <v>0</v>
          </cell>
          <cell r="K66">
            <v>27013392.559999999</v>
          </cell>
        </row>
        <row r="67">
          <cell r="C67" t="str">
            <v>1317</v>
          </cell>
          <cell r="D67" t="str">
            <v>Income From Providing Testing Services to Third Parties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C68" t="str">
            <v>1318</v>
          </cell>
          <cell r="D68" t="str">
            <v>Income from providing consultancy Services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C69">
            <v>1320</v>
          </cell>
          <cell r="D69" t="str">
            <v>Re-usable Material Account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C70">
            <v>1325</v>
          </cell>
          <cell r="D70" t="str">
            <v>Sale of Ash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C71">
            <v>1340</v>
          </cell>
          <cell r="D71" t="str">
            <v>Material Price Variance Account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C72">
            <v>1350</v>
          </cell>
          <cell r="D72" t="str">
            <v>Tender Fee/Non Refundable Deposits/ Forfeiture of Guarantees Account</v>
          </cell>
          <cell r="E72">
            <v>0</v>
          </cell>
          <cell r="F72">
            <v>16000</v>
          </cell>
          <cell r="G72">
            <v>180000</v>
          </cell>
          <cell r="H72">
            <v>87000</v>
          </cell>
          <cell r="I72">
            <v>0</v>
          </cell>
          <cell r="J72">
            <v>0</v>
          </cell>
          <cell r="K72">
            <v>283000</v>
          </cell>
        </row>
        <row r="73">
          <cell r="C73">
            <v>1355</v>
          </cell>
          <cell r="D73" t="str">
            <v>Revenue on EVC Card Cancellation Account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C74">
            <v>1360</v>
          </cell>
          <cell r="D74" t="str">
            <v>Penalty on Illicit Electricity Consumption Account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C75">
            <v>1370</v>
          </cell>
          <cell r="D75" t="str">
            <v>Income on Cost Recovery Jobs Account</v>
          </cell>
          <cell r="E75">
            <v>0</v>
          </cell>
          <cell r="F75">
            <v>0</v>
          </cell>
          <cell r="G75">
            <v>0</v>
          </cell>
          <cell r="H75">
            <v>14329020.27</v>
          </cell>
          <cell r="I75">
            <v>0</v>
          </cell>
          <cell r="J75">
            <v>0</v>
          </cell>
          <cell r="K75">
            <v>14329020.27</v>
          </cell>
        </row>
        <row r="76">
          <cell r="C76">
            <v>1371</v>
          </cell>
          <cell r="D76" t="str">
            <v>Income on meter damage job account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C77">
            <v>1372</v>
          </cell>
          <cell r="D77" t="str">
            <v>Income on phase changes/ conversions account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C78">
            <v>1373</v>
          </cell>
          <cell r="D78" t="str">
            <v>Income on  tempary connection / illumination account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C79">
            <v>1374</v>
          </cell>
          <cell r="D79" t="str">
            <v>Income on customer name change jobs account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C80" t="str">
            <v>1375</v>
          </cell>
          <cell r="D80" t="str">
            <v xml:space="preserve">INCOME ON METER TESTING ACCOUNT.                            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C81">
            <v>1376</v>
          </cell>
          <cell r="D81" t="str">
            <v xml:space="preserve">Fee on re- connection 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>
            <v>1377</v>
          </cell>
          <cell r="D82" t="str">
            <v>Income on pole shifting account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C83">
            <v>1378</v>
          </cell>
          <cell r="D83" t="str">
            <v>Income on meter shifting  account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C84" t="str">
            <v>1379</v>
          </cell>
          <cell r="D84" t="str">
            <v xml:space="preserve">Net Metering Application fee Account 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C85">
            <v>1380</v>
          </cell>
          <cell r="D85" t="str">
            <v>Service Main Application Fee Account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>
            <v>1385</v>
          </cell>
          <cell r="D86" t="str">
            <v>Income on Cost Recovery Training Account</v>
          </cell>
          <cell r="E86">
            <v>0</v>
          </cell>
          <cell r="F86">
            <v>1214792.94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1214792.94</v>
          </cell>
        </row>
        <row r="87">
          <cell r="C87" t="str">
            <v>1386</v>
          </cell>
          <cell r="D87" t="str">
            <v>Income for Hostel  Fee</v>
          </cell>
          <cell r="E87">
            <v>0</v>
          </cell>
          <cell r="F87">
            <v>790011.67999999993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790011.67999999993</v>
          </cell>
        </row>
        <row r="88">
          <cell r="C88">
            <v>1390</v>
          </cell>
          <cell r="D88" t="str">
            <v>Other Comprehensive Income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C89">
            <v>1621</v>
          </cell>
          <cell r="D89" t="str">
            <v xml:space="preserve">Exchange Rate Gain  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C90" t="str">
            <v>1625</v>
          </cell>
          <cell r="D90" t="str">
            <v>Electric Vehicle Energy Card Sale Account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C91" t="str">
            <v>1626</v>
          </cell>
          <cell r="D91" t="str">
            <v xml:space="preserve">Income From Recretional Activities On Reservoir            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3175650.8</v>
          </cell>
          <cell r="K91">
            <v>3175650.8</v>
          </cell>
        </row>
        <row r="92">
          <cell r="C92" t="str">
            <v>1627</v>
          </cell>
          <cell r="D92" t="str">
            <v xml:space="preserve">Deposit confiscated on Finalised Debtors 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C93">
            <v>1628</v>
          </cell>
          <cell r="D93" t="str">
            <v>Expenditure Reimbursement Account</v>
          </cell>
          <cell r="E93">
            <v>61417573.560000002</v>
          </cell>
          <cell r="F93">
            <v>351338511.33000004</v>
          </cell>
          <cell r="G93">
            <v>91611058.859999999</v>
          </cell>
          <cell r="H93">
            <v>154434245.79000002</v>
          </cell>
          <cell r="I93">
            <v>42754887.359999999</v>
          </cell>
          <cell r="J93">
            <v>95021893.400000006</v>
          </cell>
          <cell r="K93">
            <v>796578170.30000007</v>
          </cell>
        </row>
        <row r="94">
          <cell r="D94" t="str">
            <v>SUB TOTAL OF MISSELANIOUS INCOME</v>
          </cell>
          <cell r="E94">
            <v>61417573.560000002</v>
          </cell>
          <cell r="F94">
            <v>356069843.60000002</v>
          </cell>
          <cell r="G94">
            <v>91791058.859999999</v>
          </cell>
          <cell r="H94">
            <v>293192643.44000006</v>
          </cell>
          <cell r="I94">
            <v>42754887.359999999</v>
          </cell>
          <cell r="J94">
            <v>98204914.200000003</v>
          </cell>
          <cell r="K94">
            <v>943430921.0200001</v>
          </cell>
        </row>
        <row r="95">
          <cell r="D95" t="str">
            <v>TOTAL INCOME</v>
          </cell>
          <cell r="E95">
            <v>61500266.560000002</v>
          </cell>
          <cell r="F95">
            <v>356163666.10000002</v>
          </cell>
          <cell r="G95">
            <v>91834508.859999999</v>
          </cell>
          <cell r="H95">
            <v>293577767.75000006</v>
          </cell>
          <cell r="I95">
            <v>42758737.359999999</v>
          </cell>
          <cell r="J95">
            <v>106261709.82000001</v>
          </cell>
          <cell r="K95">
            <v>952096656.45000005</v>
          </cell>
        </row>
        <row r="96">
          <cell r="D96" t="str">
            <v xml:space="preserve"> PERSONNEL EXPENSES</v>
          </cell>
          <cell r="K96">
            <v>0</v>
          </cell>
        </row>
        <row r="97">
          <cell r="C97">
            <v>2100</v>
          </cell>
          <cell r="D97" t="str">
            <v>Management Staff Salaries Account</v>
          </cell>
          <cell r="E97">
            <v>2653996.33</v>
          </cell>
          <cell r="F97">
            <v>14003137.879999999</v>
          </cell>
          <cell r="G97">
            <v>15972639.710000001</v>
          </cell>
          <cell r="H97">
            <v>15792292.379999999</v>
          </cell>
          <cell r="I97">
            <v>4542639.84</v>
          </cell>
          <cell r="J97">
            <v>17092496.789999999</v>
          </cell>
          <cell r="K97">
            <v>70057202.930000007</v>
          </cell>
        </row>
        <row r="98">
          <cell r="C98">
            <v>2110</v>
          </cell>
          <cell r="D98" t="str">
            <v>Management Staff Allowances Account</v>
          </cell>
          <cell r="E98">
            <v>772575.72</v>
          </cell>
          <cell r="F98">
            <v>6591277.7599999998</v>
          </cell>
          <cell r="G98">
            <v>5063024.68</v>
          </cell>
          <cell r="H98">
            <v>6477080.0099999998</v>
          </cell>
          <cell r="I98">
            <v>2172642.23</v>
          </cell>
          <cell r="J98">
            <v>4945307.7</v>
          </cell>
          <cell r="K98">
            <v>26021908.100000001</v>
          </cell>
        </row>
        <row r="99">
          <cell r="C99">
            <v>2120</v>
          </cell>
          <cell r="D99" t="str">
            <v>Board of Directors Payments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C100">
            <v>2200</v>
          </cell>
          <cell r="D100" t="str">
            <v>Other Staff Salaries Account</v>
          </cell>
          <cell r="E100">
            <v>18402434.140000001</v>
          </cell>
          <cell r="F100">
            <v>22632721.870000001</v>
          </cell>
          <cell r="G100">
            <v>12083951.470000001</v>
          </cell>
          <cell r="H100">
            <v>47004808.619999997</v>
          </cell>
          <cell r="I100">
            <v>4859053.37</v>
          </cell>
          <cell r="J100">
            <v>16045587.91</v>
          </cell>
          <cell r="K100">
            <v>121028557.38</v>
          </cell>
        </row>
        <row r="101">
          <cell r="C101">
            <v>2205</v>
          </cell>
          <cell r="D101" t="str">
            <v>Salary Arrears Account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C102">
            <v>2300</v>
          </cell>
          <cell r="D102" t="str">
            <v>Other Staff Overtime Account</v>
          </cell>
          <cell r="E102">
            <v>8661460.8000000007</v>
          </cell>
          <cell r="F102">
            <v>4709658.75</v>
          </cell>
          <cell r="G102">
            <v>3087651.32</v>
          </cell>
          <cell r="H102">
            <v>16600207.710000003</v>
          </cell>
          <cell r="I102">
            <v>874395.15</v>
          </cell>
          <cell r="J102">
            <v>1661123.81</v>
          </cell>
          <cell r="K102">
            <v>35594497.540000007</v>
          </cell>
        </row>
        <row r="103">
          <cell r="C103">
            <v>2310</v>
          </cell>
          <cell r="D103" t="str">
            <v>Other Staff Allowances Account</v>
          </cell>
          <cell r="E103">
            <v>2450913.9900000002</v>
          </cell>
          <cell r="F103">
            <v>2745308.8899999997</v>
          </cell>
          <cell r="G103">
            <v>1255195.32</v>
          </cell>
          <cell r="H103">
            <v>5315689.88</v>
          </cell>
          <cell r="I103">
            <v>848840</v>
          </cell>
          <cell r="J103">
            <v>1943941.4300000002</v>
          </cell>
          <cell r="K103">
            <v>14559889.51</v>
          </cell>
        </row>
        <row r="104">
          <cell r="C104">
            <v>2320</v>
          </cell>
          <cell r="D104" t="str">
            <v>Direct Labour at Normal Rate - Generation Account</v>
          </cell>
          <cell r="E104">
            <v>349959.84</v>
          </cell>
          <cell r="F104">
            <v>15169514.179999998</v>
          </cell>
          <cell r="G104">
            <v>0</v>
          </cell>
          <cell r="H104">
            <v>4388789.5099999988</v>
          </cell>
          <cell r="I104">
            <v>0</v>
          </cell>
          <cell r="J104">
            <v>19619.080000000002</v>
          </cell>
          <cell r="K104">
            <v>19927882.609999996</v>
          </cell>
        </row>
        <row r="105">
          <cell r="C105">
            <v>2324</v>
          </cell>
          <cell r="D105" t="str">
            <v>Direct Labour Allowances Account</v>
          </cell>
          <cell r="E105">
            <v>62000</v>
          </cell>
          <cell r="F105">
            <v>1972967.52</v>
          </cell>
          <cell r="G105">
            <v>0</v>
          </cell>
          <cell r="H105">
            <v>870.97</v>
          </cell>
          <cell r="I105">
            <v>0</v>
          </cell>
          <cell r="J105">
            <v>343.55</v>
          </cell>
          <cell r="K105">
            <v>2036182.04</v>
          </cell>
        </row>
        <row r="106">
          <cell r="C106">
            <v>2330</v>
          </cell>
          <cell r="D106" t="str">
            <v>Direct Labour Overtime - Generation Account</v>
          </cell>
          <cell r="E106">
            <v>59769.45</v>
          </cell>
          <cell r="F106">
            <v>4859025.76</v>
          </cell>
          <cell r="G106">
            <v>0</v>
          </cell>
          <cell r="H106">
            <v>455505.3</v>
          </cell>
          <cell r="I106">
            <v>0</v>
          </cell>
          <cell r="J106">
            <v>0</v>
          </cell>
          <cell r="K106">
            <v>5374300.5099999998</v>
          </cell>
        </row>
        <row r="107">
          <cell r="C107">
            <v>2334</v>
          </cell>
          <cell r="D107" t="str">
            <v>Contract Employee Cost Account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786870</v>
          </cell>
          <cell r="K107">
            <v>786870</v>
          </cell>
        </row>
        <row r="108">
          <cell r="C108">
            <v>2340</v>
          </cell>
          <cell r="D108" t="str">
            <v>Labour Rate Variance Account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C109">
            <v>2350</v>
          </cell>
          <cell r="D109" t="str">
            <v xml:space="preserve">Holiday Pay - Management Staff Account </v>
          </cell>
          <cell r="E109">
            <v>262704.42</v>
          </cell>
          <cell r="F109">
            <v>302303.63</v>
          </cell>
          <cell r="G109">
            <v>87882.97</v>
          </cell>
          <cell r="H109">
            <v>269145.48000000004</v>
          </cell>
          <cell r="I109">
            <v>0</v>
          </cell>
          <cell r="J109">
            <v>527218.17000000004</v>
          </cell>
          <cell r="K109">
            <v>1449254.67</v>
          </cell>
        </row>
        <row r="110">
          <cell r="C110">
            <v>2355</v>
          </cell>
          <cell r="D110" t="str">
            <v xml:space="preserve">Holiday Pay - Other Staff Account </v>
          </cell>
          <cell r="E110">
            <v>452151.65</v>
          </cell>
          <cell r="F110">
            <v>476702.79000000004</v>
          </cell>
          <cell r="G110">
            <v>60252.41</v>
          </cell>
          <cell r="H110">
            <v>1895493.97</v>
          </cell>
          <cell r="I110">
            <v>3955.28</v>
          </cell>
          <cell r="J110">
            <v>3879.89</v>
          </cell>
          <cell r="K110">
            <v>2892435.99</v>
          </cell>
        </row>
        <row r="111">
          <cell r="C111">
            <v>2356</v>
          </cell>
          <cell r="D111" t="str">
            <v xml:space="preserve">Holiday Pay - Direct Labour Account </v>
          </cell>
          <cell r="E111">
            <v>0</v>
          </cell>
          <cell r="F111">
            <v>1110758.5999999999</v>
          </cell>
          <cell r="G111">
            <v>0</v>
          </cell>
          <cell r="H111">
            <v>12194.01</v>
          </cell>
          <cell r="I111">
            <v>0</v>
          </cell>
          <cell r="J111">
            <v>0</v>
          </cell>
          <cell r="K111">
            <v>1122952.6099999999</v>
          </cell>
        </row>
        <row r="112">
          <cell r="C112">
            <v>2360</v>
          </cell>
          <cell r="D112" t="str">
            <v>Idle Time Account</v>
          </cell>
          <cell r="E112">
            <v>0</v>
          </cell>
          <cell r="F112">
            <v>0</v>
          </cell>
          <cell r="G112">
            <v>0</v>
          </cell>
          <cell r="H112">
            <v>4594092.58</v>
          </cell>
          <cell r="I112">
            <v>0</v>
          </cell>
          <cell r="J112">
            <v>0</v>
          </cell>
          <cell r="K112">
            <v>4594092.58</v>
          </cell>
        </row>
        <row r="113">
          <cell r="C113" t="str">
            <v>2400</v>
          </cell>
          <cell r="D113" t="str">
            <v>Ministry Expenses*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C114">
            <v>2500</v>
          </cell>
          <cell r="D114" t="str">
            <v>Bonus Account</v>
          </cell>
          <cell r="E114">
            <v>5212.5</v>
          </cell>
          <cell r="F114">
            <v>56281.25</v>
          </cell>
          <cell r="G114">
            <v>29242.5</v>
          </cell>
          <cell r="H114">
            <v>244612.5</v>
          </cell>
          <cell r="I114">
            <v>0</v>
          </cell>
          <cell r="J114">
            <v>17017.5</v>
          </cell>
          <cell r="K114">
            <v>352366.25</v>
          </cell>
        </row>
        <row r="115">
          <cell r="C115">
            <v>2510</v>
          </cell>
          <cell r="D115" t="str">
            <v>Incentive for Meter Readers Account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C116">
            <v>2520</v>
          </cell>
          <cell r="D116" t="str">
            <v>Gratuity Payment Account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C117">
            <v>2530</v>
          </cell>
          <cell r="D117" t="str">
            <v>Non Sick Leave Incentive Account</v>
          </cell>
          <cell r="E117">
            <v>2404557.98</v>
          </cell>
          <cell r="F117">
            <v>6693918.7300000004</v>
          </cell>
          <cell r="G117">
            <v>5221283.76</v>
          </cell>
          <cell r="H117">
            <v>15257613.159999998</v>
          </cell>
          <cell r="I117">
            <v>2135026.11</v>
          </cell>
          <cell r="J117">
            <v>6105056.0899999999</v>
          </cell>
          <cell r="K117">
            <v>37817455.829999998</v>
          </cell>
        </row>
        <row r="118">
          <cell r="C118">
            <v>2540</v>
          </cell>
          <cell r="D118" t="str">
            <v>Allowances to Trainees Account</v>
          </cell>
          <cell r="E118">
            <v>0</v>
          </cell>
          <cell r="F118">
            <v>290379212.83999997</v>
          </cell>
          <cell r="G118">
            <v>0</v>
          </cell>
          <cell r="H118">
            <v>14500</v>
          </cell>
          <cell r="I118">
            <v>0</v>
          </cell>
          <cell r="J118">
            <v>0</v>
          </cell>
          <cell r="K118">
            <v>290393712.83999997</v>
          </cell>
        </row>
        <row r="119">
          <cell r="C119">
            <v>2550</v>
          </cell>
          <cell r="D119" t="str">
            <v>Compensation to CEB Employees Account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C120">
            <v>2600</v>
          </cell>
          <cell r="D120" t="str">
            <v xml:space="preserve">Staff Training Account </v>
          </cell>
          <cell r="E120">
            <v>1272615</v>
          </cell>
          <cell r="F120">
            <v>116700</v>
          </cell>
          <cell r="G120">
            <v>0</v>
          </cell>
          <cell r="H120">
            <v>940153.97</v>
          </cell>
          <cell r="I120">
            <v>0</v>
          </cell>
          <cell r="J120">
            <v>365425</v>
          </cell>
          <cell r="K120">
            <v>2694893.9699999997</v>
          </cell>
        </row>
        <row r="121">
          <cell r="C121">
            <v>2601</v>
          </cell>
          <cell r="D121" t="str">
            <v>Examinaton Matters</v>
          </cell>
          <cell r="E121">
            <v>0</v>
          </cell>
          <cell r="F121">
            <v>1280139.78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1280139.78</v>
          </cell>
        </row>
        <row r="122">
          <cell r="C122">
            <v>2602</v>
          </cell>
          <cell r="D122" t="str">
            <v xml:space="preserve">Local Training  Account </v>
          </cell>
          <cell r="E122">
            <v>0</v>
          </cell>
          <cell r="F122">
            <v>14400138.83</v>
          </cell>
          <cell r="G122">
            <v>0</v>
          </cell>
          <cell r="H122">
            <v>0</v>
          </cell>
          <cell r="I122">
            <v>405136.33</v>
          </cell>
          <cell r="J122">
            <v>0</v>
          </cell>
          <cell r="K122">
            <v>14805275.16</v>
          </cell>
        </row>
        <row r="123">
          <cell r="C123">
            <v>2603</v>
          </cell>
          <cell r="D123" t="str">
            <v>Foreign Training CEB Account</v>
          </cell>
          <cell r="E123">
            <v>0</v>
          </cell>
          <cell r="F123">
            <v>1823594.14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1823594.14</v>
          </cell>
        </row>
        <row r="124">
          <cell r="C124" t="str">
            <v>2604</v>
          </cell>
          <cell r="D124" t="str">
            <v>CEB employee's course fee reimbursement</v>
          </cell>
          <cell r="E124">
            <v>0</v>
          </cell>
          <cell r="F124">
            <v>900000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900000</v>
          </cell>
        </row>
        <row r="125">
          <cell r="C125">
            <v>2610</v>
          </cell>
          <cell r="D125" t="str">
            <v>Library Facilities Account</v>
          </cell>
          <cell r="E125">
            <v>24940</v>
          </cell>
          <cell r="F125">
            <v>14220</v>
          </cell>
          <cell r="G125">
            <v>0</v>
          </cell>
          <cell r="H125">
            <v>37330</v>
          </cell>
          <cell r="I125">
            <v>0</v>
          </cell>
          <cell r="J125">
            <v>34289.339999999997</v>
          </cell>
          <cell r="K125">
            <v>110779.34</v>
          </cell>
        </row>
        <row r="126">
          <cell r="C126">
            <v>2615</v>
          </cell>
          <cell r="D126" t="str">
            <v>Expenses on Employee Motivation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4000</v>
          </cell>
          <cell r="J126">
            <v>0</v>
          </cell>
          <cell r="K126">
            <v>4000</v>
          </cell>
        </row>
        <row r="127">
          <cell r="C127">
            <v>2620</v>
          </cell>
          <cell r="D127" t="str">
            <v>Fees to Professional Institutions Account</v>
          </cell>
          <cell r="E127">
            <v>0</v>
          </cell>
          <cell r="F127">
            <v>16693.7</v>
          </cell>
          <cell r="G127">
            <v>65010.080000000002</v>
          </cell>
          <cell r="H127">
            <v>167613.19</v>
          </cell>
          <cell r="I127">
            <v>48070.38</v>
          </cell>
          <cell r="J127">
            <v>198862.37</v>
          </cell>
          <cell r="K127">
            <v>496249.72</v>
          </cell>
        </row>
        <row r="128">
          <cell r="C128">
            <v>2630</v>
          </cell>
          <cell r="D128" t="str">
            <v>Staff Welfare Account</v>
          </cell>
          <cell r="E128">
            <v>0</v>
          </cell>
          <cell r="F128">
            <v>0</v>
          </cell>
          <cell r="G128">
            <v>0</v>
          </cell>
          <cell r="H128">
            <v>1500</v>
          </cell>
          <cell r="I128">
            <v>0</v>
          </cell>
          <cell r="J128">
            <v>0</v>
          </cell>
          <cell r="K128">
            <v>1500</v>
          </cell>
        </row>
        <row r="129">
          <cell r="C129">
            <v>2631</v>
          </cell>
          <cell r="D129" t="str">
            <v>Staff Welfare  - Medical Expenses Account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4589.26</v>
          </cell>
          <cell r="K129">
            <v>4589.26</v>
          </cell>
        </row>
        <row r="130">
          <cell r="C130">
            <v>2632</v>
          </cell>
          <cell r="D130" t="str">
            <v>Staff Welfare  - Traveling &amp; Concession Account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C131">
            <v>2635</v>
          </cell>
          <cell r="D131" t="str">
            <v>Executive Officers Mobile Allowance Account</v>
          </cell>
          <cell r="E131">
            <v>8798.2000000000007</v>
          </cell>
          <cell r="F131">
            <v>31762.7</v>
          </cell>
          <cell r="G131">
            <v>68194.28</v>
          </cell>
          <cell r="H131">
            <v>74903.560000000012</v>
          </cell>
          <cell r="I131">
            <v>15597.46</v>
          </cell>
          <cell r="J131">
            <v>58645.219999999994</v>
          </cell>
          <cell r="K131">
            <v>257901.41999999998</v>
          </cell>
        </row>
        <row r="132">
          <cell r="C132">
            <v>2640</v>
          </cell>
          <cell r="D132" t="str">
            <v xml:space="preserve">Medical  Expenses - Indoor Account </v>
          </cell>
          <cell r="E132">
            <v>320606.08000000002</v>
          </cell>
          <cell r="F132">
            <v>1231126.3199999998</v>
          </cell>
          <cell r="G132">
            <v>685649.27</v>
          </cell>
          <cell r="H132">
            <v>1148720.01</v>
          </cell>
          <cell r="I132">
            <v>121990.01</v>
          </cell>
          <cell r="J132">
            <v>194518.43</v>
          </cell>
          <cell r="K132">
            <v>3702610.1199999996</v>
          </cell>
        </row>
        <row r="133">
          <cell r="C133">
            <v>2641</v>
          </cell>
          <cell r="D133" t="str">
            <v>Medical Expenses  - Out door Account</v>
          </cell>
          <cell r="E133">
            <v>265607</v>
          </cell>
          <cell r="F133">
            <v>880514</v>
          </cell>
          <cell r="G133">
            <v>475812.02</v>
          </cell>
          <cell r="H133">
            <v>1667630.94</v>
          </cell>
          <cell r="I133">
            <v>88511.4</v>
          </cell>
          <cell r="J133">
            <v>554150.84000000008</v>
          </cell>
          <cell r="K133">
            <v>3932226.2</v>
          </cell>
        </row>
        <row r="134">
          <cell r="C134" t="str">
            <v>2642</v>
          </cell>
          <cell r="D134" t="str">
            <v xml:space="preserve">Medical Expenses  - Medical Screening Programs Account 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C135">
            <v>2650</v>
          </cell>
          <cell r="D135" t="str">
            <v>Uniforms &amp; Protective Clothing Account</v>
          </cell>
          <cell r="E135">
            <v>525</v>
          </cell>
          <cell r="F135">
            <v>1100079</v>
          </cell>
          <cell r="G135">
            <v>551080</v>
          </cell>
          <cell r="H135">
            <v>911793.29</v>
          </cell>
          <cell r="I135">
            <v>0</v>
          </cell>
          <cell r="J135">
            <v>88264</v>
          </cell>
          <cell r="K135">
            <v>2651741.29</v>
          </cell>
        </row>
        <row r="136">
          <cell r="C136">
            <v>2660</v>
          </cell>
          <cell r="D136" t="str">
            <v>Reimbursement of loan Interest Account</v>
          </cell>
          <cell r="E136">
            <v>1818621.13</v>
          </cell>
          <cell r="F136">
            <v>5522040.8499999996</v>
          </cell>
          <cell r="G136">
            <v>4561704.2300000004</v>
          </cell>
          <cell r="H136">
            <v>13493445.449999999</v>
          </cell>
          <cell r="I136">
            <v>868942.16</v>
          </cell>
          <cell r="J136">
            <v>4131095.76</v>
          </cell>
          <cell r="K136">
            <v>30395849.579999998</v>
          </cell>
        </row>
        <row r="137">
          <cell r="C137">
            <v>2665</v>
          </cell>
          <cell r="D137" t="str">
            <v>Amortization of Prepaid Staff Loan Benefit Account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C138">
            <v>2670</v>
          </cell>
          <cell r="D138" t="str">
            <v>PAYE Tax  Account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C139">
            <v>2680</v>
          </cell>
          <cell r="D139" t="str">
            <v>CEB Pension Fund Account</v>
          </cell>
          <cell r="E139">
            <v>1792687.61</v>
          </cell>
          <cell r="F139">
            <v>4347807.43</v>
          </cell>
          <cell r="G139">
            <v>3002045.25</v>
          </cell>
          <cell r="H139">
            <v>6003566.7899999991</v>
          </cell>
          <cell r="I139">
            <v>799600.6</v>
          </cell>
          <cell r="J139">
            <v>2858859.16</v>
          </cell>
          <cell r="K139">
            <v>18804566.839999996</v>
          </cell>
        </row>
        <row r="140">
          <cell r="C140">
            <v>2681</v>
          </cell>
          <cell r="D140" t="str">
            <v>Pension to EXDGEU Account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C141">
            <v>2682</v>
          </cell>
          <cell r="D141" t="str">
            <v>Pension Expenses***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C142">
            <v>2700</v>
          </cell>
          <cell r="D142" t="str">
            <v>CEB Employee Trust Fund Account</v>
          </cell>
          <cell r="E142">
            <v>669489.6</v>
          </cell>
          <cell r="F142">
            <v>7760562.1400000006</v>
          </cell>
          <cell r="G142">
            <v>1124306.8600000001</v>
          </cell>
          <cell r="H142">
            <v>2251337.6500000004</v>
          </cell>
          <cell r="I142">
            <v>299850.15999999997</v>
          </cell>
          <cell r="J142">
            <v>1071504.1199999999</v>
          </cell>
          <cell r="K142">
            <v>13177050.529999999</v>
          </cell>
        </row>
        <row r="143">
          <cell r="C143">
            <v>2710</v>
          </cell>
          <cell r="D143" t="str">
            <v>CEB Provident Fund Account</v>
          </cell>
          <cell r="E143">
            <v>3347448.1</v>
          </cell>
          <cell r="F143">
            <v>38802780.25</v>
          </cell>
          <cell r="G143">
            <v>5624129.96</v>
          </cell>
          <cell r="H143">
            <v>11256687.609999999</v>
          </cell>
          <cell r="I143">
            <v>1499251.08</v>
          </cell>
          <cell r="J143">
            <v>5357520.75</v>
          </cell>
          <cell r="K143">
            <v>65887817.75</v>
          </cell>
        </row>
        <row r="144">
          <cell r="D144" t="str">
            <v>PERSONNEL EXPENSES - SUB TOTAL</v>
          </cell>
          <cell r="E144">
            <v>46059074.540000007</v>
          </cell>
          <cell r="F144">
            <v>449930949.58999991</v>
          </cell>
          <cell r="G144">
            <v>59019056.089999996</v>
          </cell>
          <cell r="H144">
            <v>156277578.54000002</v>
          </cell>
          <cell r="I144">
            <v>19587501.560000002</v>
          </cell>
          <cell r="J144">
            <v>64066186.169999994</v>
          </cell>
          <cell r="K144">
            <v>794940346.49000001</v>
          </cell>
        </row>
        <row r="145">
          <cell r="D145" t="str">
            <v xml:space="preserve"> MATERIAL COST</v>
          </cell>
          <cell r="K145">
            <v>0</v>
          </cell>
        </row>
        <row r="146">
          <cell r="C146">
            <v>3100</v>
          </cell>
          <cell r="D146" t="str">
            <v>Power Station Fuel Account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C147">
            <v>3110</v>
          </cell>
          <cell r="D147" t="str">
            <v>Purchased Power Thermal Account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C148">
            <v>3114</v>
          </cell>
          <cell r="D148" t="str">
            <v>Energy Purchase from Generation to Transmission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C149">
            <v>3115</v>
          </cell>
          <cell r="D149" t="str">
            <v>Energy Purchase from Transmission to Distribution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C150" t="str">
            <v>3116</v>
          </cell>
          <cell r="D150" t="str">
            <v>Energy Purchase from Asset Management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C151">
            <v>3120</v>
          </cell>
          <cell r="D151" t="str">
            <v>Rebate on Self  Generation Account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C152">
            <v>3125</v>
          </cell>
          <cell r="D152" t="str">
            <v>Shortfall of Revenue in EVCS Account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C153">
            <v>3130</v>
          </cell>
          <cell r="D153" t="str">
            <v>Purchased Power  - Renewable Account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C154">
            <v>3131</v>
          </cell>
          <cell r="D154" t="str">
            <v xml:space="preserve">Energy Purchase From Net Accounting  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C155">
            <v>3132</v>
          </cell>
          <cell r="D155" t="str">
            <v>Energy Purchase From Net Plus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C156">
            <v>3133</v>
          </cell>
          <cell r="D156" t="str">
            <v>Energy Cost / Purchase under Net Metering Account Scheme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C157">
            <v>3134</v>
          </cell>
          <cell r="D157" t="str">
            <v>Energy Purchase from net Plus Plus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C158">
            <v>3135</v>
          </cell>
          <cell r="D158" t="str">
            <v>Energy Purchase under Variable Tariff Scheme - Ordinary Supply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C159">
            <v>3136</v>
          </cell>
          <cell r="D159" t="str">
            <v>Energy Purchase under Variable Tariff Scheme - Bulk Supply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C160">
            <v>3150</v>
          </cell>
          <cell r="D160" t="str">
            <v>Power Station Coal Account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C161">
            <v>3200</v>
          </cell>
          <cell r="D161" t="str">
            <v>Component / Routine Maintenance - Generation Account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C162">
            <v>3201</v>
          </cell>
          <cell r="D162" t="str">
            <v>Component / Routine Maintenance -  Transmission Account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C163">
            <v>3202</v>
          </cell>
          <cell r="D163" t="str">
            <v>Component / Routine Maintenance - Distribution  Account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C164">
            <v>3203</v>
          </cell>
          <cell r="D164" t="str">
            <v>Lubricating Oil Account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C165">
            <v>3204</v>
          </cell>
          <cell r="D165" t="str">
            <v>Water Treatment Plant Chemicals Account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C166">
            <v>3210</v>
          </cell>
          <cell r="D166" t="str">
            <v>Components / Special Maintenance Account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C167">
            <v>3211</v>
          </cell>
          <cell r="D167" t="str">
            <v>Components / Routine Maintenance on Rehabilitation Account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C168">
            <v>3212</v>
          </cell>
          <cell r="D168" t="str">
            <v>Expenses on Tug Boats and Barges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C169">
            <v>3220</v>
          </cell>
          <cell r="D169" t="str">
            <v>Components/Construction Account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C170">
            <v>3225</v>
          </cell>
          <cell r="D170" t="str">
            <v>Fixing of Boundary Meters Account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C171">
            <v>3230</v>
          </cell>
          <cell r="D171" t="str">
            <v>Consumables Account</v>
          </cell>
          <cell r="E171">
            <v>0</v>
          </cell>
          <cell r="F171">
            <v>35179</v>
          </cell>
          <cell r="G171">
            <v>0</v>
          </cell>
          <cell r="H171">
            <v>1490941.48</v>
          </cell>
          <cell r="I171">
            <v>0</v>
          </cell>
          <cell r="J171">
            <v>0</v>
          </cell>
          <cell r="K171">
            <v>1526120.48</v>
          </cell>
        </row>
        <row r="172">
          <cell r="C172">
            <v>3300</v>
          </cell>
          <cell r="D172" t="str">
            <v>Loose Tools Account</v>
          </cell>
          <cell r="E172">
            <v>2268424.92</v>
          </cell>
          <cell r="F172">
            <v>0</v>
          </cell>
          <cell r="G172">
            <v>9260</v>
          </cell>
          <cell r="H172">
            <v>861224.55</v>
          </cell>
          <cell r="I172">
            <v>0</v>
          </cell>
          <cell r="J172">
            <v>0</v>
          </cell>
          <cell r="K172">
            <v>3138909.4699999997</v>
          </cell>
        </row>
        <row r="173">
          <cell r="C173">
            <v>3410</v>
          </cell>
          <cell r="D173" t="str">
            <v>Stores Discrepancies Account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C174">
            <v>3420</v>
          </cell>
          <cell r="D174" t="str">
            <v>Damaged Stocks Account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C175">
            <v>3430</v>
          </cell>
          <cell r="D175" t="str">
            <v>Stores Price Variances Account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C176">
            <v>3450</v>
          </cell>
          <cell r="D176" t="str">
            <v>Annual Provision For Damaged Stocks &amp; Obsolete Stocks Account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C177">
            <v>3500</v>
          </cell>
          <cell r="D177" t="str">
            <v>Damages &amp; Losses on Boards Property Account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C178">
            <v>3510</v>
          </cell>
          <cell r="D178" t="str">
            <v>Demurrages***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D179" t="str">
            <v>MATERIAL COST - SUB TOTAL</v>
          </cell>
          <cell r="E179">
            <v>2268424.92</v>
          </cell>
          <cell r="F179">
            <v>35179</v>
          </cell>
          <cell r="G179">
            <v>9260</v>
          </cell>
          <cell r="H179">
            <v>2352166.0300000003</v>
          </cell>
          <cell r="I179">
            <v>0</v>
          </cell>
          <cell r="J179">
            <v>0</v>
          </cell>
          <cell r="K179">
            <v>4665029.9499999993</v>
          </cell>
        </row>
        <row r="180">
          <cell r="D180" t="str">
            <v>ACCOMMODATION EXPENSES</v>
          </cell>
          <cell r="K180">
            <v>0</v>
          </cell>
        </row>
        <row r="181">
          <cell r="C181">
            <v>4100</v>
          </cell>
          <cell r="D181" t="str">
            <v>Housing Rent and Rates Account</v>
          </cell>
          <cell r="E181">
            <v>0</v>
          </cell>
          <cell r="F181">
            <v>204347.77</v>
          </cell>
          <cell r="G181">
            <v>0</v>
          </cell>
          <cell r="H181">
            <v>353352.38</v>
          </cell>
          <cell r="I181">
            <v>189000</v>
          </cell>
          <cell r="J181">
            <v>0</v>
          </cell>
          <cell r="K181">
            <v>746700.15</v>
          </cell>
        </row>
        <row r="182">
          <cell r="C182">
            <v>4110</v>
          </cell>
          <cell r="D182" t="str">
            <v>Building Maintenance Account</v>
          </cell>
          <cell r="E182">
            <v>80081.52</v>
          </cell>
          <cell r="F182">
            <v>8185860.9900000002</v>
          </cell>
          <cell r="G182">
            <v>12542087.810000001</v>
          </cell>
          <cell r="H182">
            <v>10190324.940000001</v>
          </cell>
          <cell r="I182">
            <v>700162</v>
          </cell>
          <cell r="J182">
            <v>154818.49</v>
          </cell>
          <cell r="K182">
            <v>31853335.75</v>
          </cell>
        </row>
        <row r="183">
          <cell r="C183">
            <v>4120</v>
          </cell>
          <cell r="D183" t="str">
            <v>Circuit Bungalow Maintenance Account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C184">
            <v>4200</v>
          </cell>
          <cell r="D184" t="str">
            <v>Furniture, fittings and Equipment Account</v>
          </cell>
          <cell r="E184">
            <v>0</v>
          </cell>
          <cell r="F184">
            <v>496925.72</v>
          </cell>
          <cell r="G184">
            <v>0</v>
          </cell>
          <cell r="H184">
            <v>196924.74</v>
          </cell>
          <cell r="I184">
            <v>0</v>
          </cell>
          <cell r="J184">
            <v>43890</v>
          </cell>
          <cell r="K184">
            <v>737740.46</v>
          </cell>
        </row>
        <row r="185">
          <cell r="C185">
            <v>4300</v>
          </cell>
          <cell r="D185" t="str">
            <v>Electricity  Consumption Account</v>
          </cell>
          <cell r="E185">
            <v>604340.76</v>
          </cell>
          <cell r="F185">
            <v>9986569.2599999998</v>
          </cell>
          <cell r="G185">
            <v>1160176.33</v>
          </cell>
          <cell r="H185">
            <v>5527508.4299999997</v>
          </cell>
          <cell r="I185">
            <v>62509.74</v>
          </cell>
          <cell r="J185">
            <v>1937725.8</v>
          </cell>
          <cell r="K185">
            <v>19278830.32</v>
          </cell>
        </row>
        <row r="186">
          <cell r="C186">
            <v>4301</v>
          </cell>
          <cell r="D186" t="str">
            <v>EVCS Electricity Bill Settlement Account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C187">
            <v>4310</v>
          </cell>
          <cell r="D187" t="str">
            <v>LP Gas for employee quarters Account***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C188">
            <v>4400</v>
          </cell>
          <cell r="D188" t="str">
            <v>Water Supply Charges Account</v>
          </cell>
          <cell r="E188">
            <v>646249.18999999994</v>
          </cell>
          <cell r="F188">
            <v>233290.57</v>
          </cell>
          <cell r="G188">
            <v>123573.77</v>
          </cell>
          <cell r="H188">
            <v>1362736.33</v>
          </cell>
          <cell r="I188">
            <v>33074.43</v>
          </cell>
          <cell r="J188">
            <v>194892.75</v>
          </cell>
          <cell r="K188">
            <v>2593817.0400000005</v>
          </cell>
        </row>
        <row r="189">
          <cell r="D189" t="str">
            <v>ACCOMMODATION EXPENSES - SUB TOTAL</v>
          </cell>
          <cell r="E189">
            <v>1330671.47</v>
          </cell>
          <cell r="F189">
            <v>19106994.310000002</v>
          </cell>
          <cell r="G189">
            <v>13825837.91</v>
          </cell>
          <cell r="H189">
            <v>17630846.82</v>
          </cell>
          <cell r="I189">
            <v>984746.17</v>
          </cell>
          <cell r="J189">
            <v>2331327.04</v>
          </cell>
          <cell r="K189">
            <v>55210423.719999999</v>
          </cell>
        </row>
        <row r="190">
          <cell r="D190" t="str">
            <v>TRANSPORT &amp; COMMUNICATION EXPENSES</v>
          </cell>
          <cell r="K190">
            <v>0</v>
          </cell>
        </row>
        <row r="191">
          <cell r="C191">
            <v>5100</v>
          </cell>
          <cell r="D191" t="str">
            <v xml:space="preserve">Traveling and Subsistence (Local) Account </v>
          </cell>
          <cell r="E191">
            <v>166589.5</v>
          </cell>
          <cell r="F191">
            <v>725335.05</v>
          </cell>
          <cell r="G191">
            <v>557010.6</v>
          </cell>
          <cell r="H191">
            <v>2281215.62</v>
          </cell>
          <cell r="I191">
            <v>191509.54</v>
          </cell>
          <cell r="J191">
            <v>18689.91</v>
          </cell>
          <cell r="K191">
            <v>3940350.22</v>
          </cell>
        </row>
        <row r="192">
          <cell r="C192">
            <v>5110</v>
          </cell>
          <cell r="D192" t="str">
            <v xml:space="preserve">Traveling and Subsistence (Overseas) Account 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C193">
            <v>5200</v>
          </cell>
          <cell r="D193" t="str">
            <v>Vehicle Maintenance Account</v>
          </cell>
          <cell r="E193">
            <v>545508.74</v>
          </cell>
          <cell r="F193">
            <v>3473685.79</v>
          </cell>
          <cell r="G193">
            <v>3151496.48</v>
          </cell>
          <cell r="H193">
            <v>14237516.909999998</v>
          </cell>
          <cell r="I193">
            <v>1468369.1</v>
          </cell>
          <cell r="J193">
            <v>1405561.2699999998</v>
          </cell>
          <cell r="K193">
            <v>24282138.289999999</v>
          </cell>
        </row>
        <row r="194">
          <cell r="C194">
            <v>5210</v>
          </cell>
          <cell r="D194" t="str">
            <v>Vehicle Fuel, Oil  and Licenses Account</v>
          </cell>
          <cell r="E194">
            <v>1518992.86</v>
          </cell>
          <cell r="F194">
            <v>5675074.8700000001</v>
          </cell>
          <cell r="G194">
            <v>3751264.7</v>
          </cell>
          <cell r="H194">
            <v>10587768.190000001</v>
          </cell>
          <cell r="I194">
            <v>1794610.59</v>
          </cell>
          <cell r="J194">
            <v>1637499.8599999999</v>
          </cell>
          <cell r="K194">
            <v>24965211.07</v>
          </cell>
        </row>
        <row r="195">
          <cell r="C195">
            <v>5220</v>
          </cell>
          <cell r="D195" t="str">
            <v>Vehicle Hire Charges Account</v>
          </cell>
          <cell r="E195">
            <v>0</v>
          </cell>
          <cell r="F195">
            <v>0</v>
          </cell>
          <cell r="G195">
            <v>238262.04</v>
          </cell>
          <cell r="H195">
            <v>231336</v>
          </cell>
          <cell r="I195">
            <v>0</v>
          </cell>
          <cell r="J195">
            <v>1205652.44</v>
          </cell>
          <cell r="K195">
            <v>1675250.48</v>
          </cell>
        </row>
        <row r="196">
          <cell r="C196">
            <v>5230</v>
          </cell>
          <cell r="D196" t="str">
            <v>Material Transport Charges Account</v>
          </cell>
          <cell r="E196">
            <v>0</v>
          </cell>
          <cell r="F196">
            <v>32209.71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32209.71</v>
          </cell>
        </row>
        <row r="197">
          <cell r="C197">
            <v>5300</v>
          </cell>
          <cell r="D197" t="str">
            <v>Office Supplies Account</v>
          </cell>
          <cell r="E197">
            <v>297722.5</v>
          </cell>
          <cell r="F197">
            <v>1590295.77</v>
          </cell>
          <cell r="G197">
            <v>415179</v>
          </cell>
          <cell r="H197">
            <v>3476793.15</v>
          </cell>
          <cell r="I197">
            <v>72552.5</v>
          </cell>
          <cell r="J197">
            <v>960621.36</v>
          </cell>
          <cell r="K197">
            <v>6813164.2800000003</v>
          </cell>
        </row>
        <row r="198">
          <cell r="C198" t="str">
            <v>5305</v>
          </cell>
          <cell r="D198" t="str">
            <v>Electric Vehicle Energy Card Printing Cost Account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C199">
            <v>5310</v>
          </cell>
          <cell r="D199" t="str">
            <v>Postage Account</v>
          </cell>
          <cell r="E199">
            <v>17050</v>
          </cell>
          <cell r="F199">
            <v>179700</v>
          </cell>
          <cell r="G199">
            <v>19210</v>
          </cell>
          <cell r="H199">
            <v>144660</v>
          </cell>
          <cell r="I199">
            <v>6759.97</v>
          </cell>
          <cell r="J199">
            <v>51398.97</v>
          </cell>
          <cell r="K199">
            <v>418778.93999999994</v>
          </cell>
        </row>
        <row r="200">
          <cell r="C200">
            <v>5320</v>
          </cell>
          <cell r="D200" t="str">
            <v>Telecommunications Account</v>
          </cell>
          <cell r="E200">
            <v>88185.06</v>
          </cell>
          <cell r="F200">
            <v>288670.61</v>
          </cell>
          <cell r="G200">
            <v>69121.100000000006</v>
          </cell>
          <cell r="H200">
            <v>419520.30000000005</v>
          </cell>
          <cell r="I200">
            <v>89615.67</v>
          </cell>
          <cell r="J200">
            <v>171075.33000000002</v>
          </cell>
          <cell r="K200">
            <v>1126188.07</v>
          </cell>
        </row>
        <row r="201">
          <cell r="C201">
            <v>5321</v>
          </cell>
          <cell r="D201" t="str">
            <v>Communication Frequency Charges Account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C202">
            <v>5322</v>
          </cell>
          <cell r="D202" t="str">
            <v>Expenses on Data communication links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C203">
            <v>5323</v>
          </cell>
          <cell r="D203" t="str">
            <v>Expenses on Software licenses and  maintenance</v>
          </cell>
          <cell r="E203">
            <v>0</v>
          </cell>
          <cell r="F203">
            <v>0</v>
          </cell>
          <cell r="G203">
            <v>0</v>
          </cell>
          <cell r="H203">
            <v>14000</v>
          </cell>
          <cell r="I203">
            <v>0</v>
          </cell>
          <cell r="J203">
            <v>153407.24</v>
          </cell>
          <cell r="K203">
            <v>167407.24</v>
          </cell>
        </row>
        <row r="204">
          <cell r="C204">
            <v>5324</v>
          </cell>
          <cell r="D204" t="str">
            <v>Expenses on maintenance of IT related hardware</v>
          </cell>
          <cell r="E204">
            <v>26675.63</v>
          </cell>
          <cell r="F204">
            <v>311790</v>
          </cell>
          <cell r="G204">
            <v>0</v>
          </cell>
          <cell r="H204">
            <v>500051.19</v>
          </cell>
          <cell r="I204">
            <v>4956</v>
          </cell>
          <cell r="J204">
            <v>0</v>
          </cell>
          <cell r="K204">
            <v>843472.82000000007</v>
          </cell>
        </row>
        <row r="205">
          <cell r="C205">
            <v>5325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D206" t="str">
            <v>TRANSPORT &amp; COMMUNICATION EXP. - SUB TOTAL</v>
          </cell>
          <cell r="E206">
            <v>2660724.29</v>
          </cell>
          <cell r="F206">
            <v>12276761.800000001</v>
          </cell>
          <cell r="G206">
            <v>8201543.9199999999</v>
          </cell>
          <cell r="H206">
            <v>31892861.359999999</v>
          </cell>
          <cell r="I206">
            <v>3628373.3700000006</v>
          </cell>
          <cell r="J206">
            <v>5603906.3799999999</v>
          </cell>
          <cell r="K206">
            <v>64264171.119999997</v>
          </cell>
        </row>
        <row r="207">
          <cell r="D207" t="str">
            <v xml:space="preserve"> DEPRECIATION</v>
          </cell>
          <cell r="K207">
            <v>0</v>
          </cell>
        </row>
        <row r="208">
          <cell r="C208">
            <v>6000</v>
          </cell>
          <cell r="D208" t="str">
            <v xml:space="preserve">Depreciation of fixed assets (Ledger account should be maintained according to accounts code) </v>
          </cell>
          <cell r="E208">
            <v>958324.56</v>
          </cell>
          <cell r="F208">
            <v>16660777.49</v>
          </cell>
          <cell r="G208">
            <v>1127420.76</v>
          </cell>
          <cell r="H208">
            <v>28016824.650000002</v>
          </cell>
          <cell r="I208">
            <v>1368432.09</v>
          </cell>
          <cell r="J208">
            <v>3089831.36</v>
          </cell>
          <cell r="K208">
            <v>51221610.910000011</v>
          </cell>
        </row>
        <row r="209">
          <cell r="C209" t="str">
            <v>6500</v>
          </cell>
          <cell r="D209" t="str">
            <v>Amortization of Intangible Assets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C210" t="str">
            <v>6600</v>
          </cell>
          <cell r="D210" t="str">
            <v>Right of Use Assets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D211" t="str">
            <v>DEPRECIATION - SUB TOTAL</v>
          </cell>
          <cell r="E211">
            <v>958324.56</v>
          </cell>
          <cell r="F211">
            <v>16660777.49</v>
          </cell>
          <cell r="G211">
            <v>1127420.76</v>
          </cell>
          <cell r="H211">
            <v>28016824.650000002</v>
          </cell>
          <cell r="I211">
            <v>1368432.09</v>
          </cell>
          <cell r="J211">
            <v>3089831.36</v>
          </cell>
          <cell r="K211">
            <v>51221610.910000011</v>
          </cell>
        </row>
        <row r="212">
          <cell r="D212" t="str">
            <v xml:space="preserve"> OTHER EXPENSES</v>
          </cell>
          <cell r="K212">
            <v>0</v>
          </cell>
        </row>
        <row r="213">
          <cell r="C213">
            <v>7100</v>
          </cell>
          <cell r="D213" t="str">
            <v>Hire and Lease Charges Account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C214">
            <v>7200</v>
          </cell>
          <cell r="D214" t="str">
            <v>Contractors Payment for Non Capital Jobs&amp; Projects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C215">
            <v>7210</v>
          </cell>
          <cell r="D215" t="str">
            <v>Payment to Security Staff on Contract Account</v>
          </cell>
          <cell r="E215">
            <v>0</v>
          </cell>
          <cell r="F215">
            <v>9707655.7899999991</v>
          </cell>
          <cell r="G215">
            <v>71206.649999999994</v>
          </cell>
          <cell r="H215">
            <v>0</v>
          </cell>
          <cell r="I215">
            <v>124481.74</v>
          </cell>
          <cell r="J215">
            <v>348081.83</v>
          </cell>
          <cell r="K215">
            <v>10251426.01</v>
          </cell>
        </row>
        <row r="216">
          <cell r="C216">
            <v>7211</v>
          </cell>
          <cell r="D216" t="str">
            <v>Payment to Manpower Agencies Account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C217" t="str">
            <v>7712</v>
          </cell>
          <cell r="D217" t="str">
            <v xml:space="preserve"> Loss on Stock Disposal Account </v>
          </cell>
        </row>
        <row r="218">
          <cell r="C218">
            <v>7220</v>
          </cell>
          <cell r="D218" t="str">
            <v>Payments to Private Secretarial Service Account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C219">
            <v>7230</v>
          </cell>
          <cell r="D219" t="str">
            <v>Payment to Rural Electrification-Coordinators Account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C220">
            <v>7300</v>
          </cell>
          <cell r="D220" t="str">
            <v>Clearance Charges Account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C221">
            <v>7310</v>
          </cell>
          <cell r="D221" t="str">
            <v>Custom Duty Account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C222">
            <v>7400</v>
          </cell>
          <cell r="D222" t="str">
            <v>Legal Fees Account</v>
          </cell>
          <cell r="E222">
            <v>0</v>
          </cell>
          <cell r="F222">
            <v>0</v>
          </cell>
          <cell r="G222">
            <v>53400</v>
          </cell>
          <cell r="H222">
            <v>0</v>
          </cell>
          <cell r="I222">
            <v>0</v>
          </cell>
          <cell r="J222">
            <v>35900</v>
          </cell>
          <cell r="K222">
            <v>89300</v>
          </cell>
        </row>
        <row r="223">
          <cell r="C223">
            <v>7405</v>
          </cell>
          <cell r="D223" t="str">
            <v xml:space="preserve">Annual Regulatory Levy (PUCSL) Account 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C224" t="str">
            <v>7406</v>
          </cell>
          <cell r="D224" t="str">
            <v>Rating fees &amp; related renewal fees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C225">
            <v>7410</v>
          </cell>
          <cell r="D225" t="str">
            <v>Audit Fees Account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C226">
            <v>7420</v>
          </cell>
          <cell r="D226" t="str">
            <v>Consultancy Fees Account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C227" t="str">
            <v>7422</v>
          </cell>
          <cell r="D227" t="str">
            <v>Management Fee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C228">
            <v>7430</v>
          </cell>
          <cell r="D228" t="str">
            <v>Research &amp; Development Expenditure Account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C229">
            <v>7440</v>
          </cell>
          <cell r="D229" t="str">
            <v>Inquiries Panel &amp; Interview Panel Account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294160</v>
          </cell>
          <cell r="K229">
            <v>294160</v>
          </cell>
        </row>
        <row r="230">
          <cell r="C230">
            <v>7450</v>
          </cell>
          <cell r="D230" t="str">
            <v>Tender Board Members &amp; TEC Members Account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C231">
            <v>7460</v>
          </cell>
          <cell r="D231" t="str">
            <v>Payment to the Engineering Services at Lakvijaya Power Station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C232">
            <v>7500</v>
          </cell>
          <cell r="D232" t="str">
            <v>Public Relations/Advertising Account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C233">
            <v>7501</v>
          </cell>
          <cell r="D233" t="str">
            <v>Energy Saving\Conservation Account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C234" t="str">
            <v>7502</v>
          </cell>
          <cell r="D234" t="str">
            <v>Corporate Publication Account*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80000</v>
          </cell>
          <cell r="J234">
            <v>0</v>
          </cell>
          <cell r="K234">
            <v>80000</v>
          </cell>
        </row>
        <row r="235">
          <cell r="C235">
            <v>7510</v>
          </cell>
          <cell r="D235" t="str">
            <v>Entertainment Account</v>
          </cell>
          <cell r="E235">
            <v>27730</v>
          </cell>
          <cell r="F235">
            <v>771211.8</v>
          </cell>
          <cell r="G235">
            <v>3450</v>
          </cell>
          <cell r="H235">
            <v>219848.72</v>
          </cell>
          <cell r="I235">
            <v>89592.3</v>
          </cell>
          <cell r="J235">
            <v>197845.38</v>
          </cell>
          <cell r="K235">
            <v>1309678.2000000002</v>
          </cell>
        </row>
        <row r="236">
          <cell r="C236">
            <v>7540</v>
          </cell>
          <cell r="D236" t="str">
            <v xml:space="preserve">Donation &amp; Social Cost Account 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C237" t="str">
            <v>7541</v>
          </cell>
          <cell r="D237" t="str">
            <v>Corporate Social Responsibility (CSR) Projects Account*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C238">
            <v>7560</v>
          </cell>
          <cell r="D238" t="str">
            <v>Cleaning Service &amp; Pest Control Services Account</v>
          </cell>
          <cell r="E238">
            <v>0</v>
          </cell>
          <cell r="F238">
            <v>11401208.92</v>
          </cell>
          <cell r="G238">
            <v>213959.27</v>
          </cell>
          <cell r="H238">
            <v>3147426.0700000003</v>
          </cell>
          <cell r="I238">
            <v>114349.29</v>
          </cell>
          <cell r="J238">
            <v>361084.41000000003</v>
          </cell>
          <cell r="K238">
            <v>15238027.959999999</v>
          </cell>
        </row>
        <row r="239">
          <cell r="C239">
            <v>7600</v>
          </cell>
          <cell r="D239" t="str">
            <v>Insurance Premiums Account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C240">
            <v>7700</v>
          </cell>
          <cell r="D240" t="str">
            <v>Loss on Scrap  - Fixed Assets Account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C241">
            <v>7710</v>
          </cell>
          <cell r="D241" t="str">
            <v xml:space="preserve">Losses on Sale - Fixed Assets Account 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C242">
            <v>7711</v>
          </cell>
          <cell r="D242" t="str">
            <v>Cash Counter Payment Account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C243">
            <v>7712</v>
          </cell>
          <cell r="D243" t="str">
            <v>Loss on Stock Disposal Account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C244">
            <v>7720</v>
          </cell>
          <cell r="D244" t="str">
            <v xml:space="preserve">Bad Debts Written Off (Electricity ) Account 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C245">
            <v>7721</v>
          </cell>
          <cell r="D245" t="str">
            <v xml:space="preserve">Provision for Bad Debts (Electricity) Account 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C246" t="str">
            <v>7722</v>
          </cell>
          <cell r="D246" t="str">
            <v xml:space="preserve">Concessionary deduction on Electrictiy bill 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C247">
            <v>7730</v>
          </cell>
          <cell r="D247" t="str">
            <v>Contingencies Account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C248">
            <v>7740</v>
          </cell>
          <cell r="D248" t="str">
            <v>Discount on 25% Electricity Bill for Eligible Government Institution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C249">
            <v>7750</v>
          </cell>
          <cell r="D249" t="str">
            <v>Repairs to Transformers Account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C250">
            <v>7800</v>
          </cell>
          <cell r="D250" t="str">
            <v>Miscellaneous Expense Account</v>
          </cell>
          <cell r="E250">
            <v>20260</v>
          </cell>
          <cell r="F250">
            <v>1056048.3600000001</v>
          </cell>
          <cell r="G250">
            <v>14720.75</v>
          </cell>
          <cell r="H250">
            <v>205981.6</v>
          </cell>
          <cell r="I250">
            <v>0</v>
          </cell>
          <cell r="J250">
            <v>13500.01</v>
          </cell>
          <cell r="K250">
            <v>1310510.7200000002</v>
          </cell>
        </row>
        <row r="251">
          <cell r="C251">
            <v>7810</v>
          </cell>
          <cell r="D251" t="str">
            <v>Compensation to 3rd Parties Account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25689082.52</v>
          </cell>
          <cell r="K251">
            <v>25689082.52</v>
          </cell>
        </row>
        <row r="252">
          <cell r="C252" t="str">
            <v>7811</v>
          </cell>
          <cell r="D252" t="str">
            <v xml:space="preserve">Liquidated Damages Account 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C253">
            <v>7820</v>
          </cell>
          <cell r="D253" t="str">
            <v>Repairs to Plant, Machinery &amp; Equipment Account</v>
          </cell>
          <cell r="E253">
            <v>333110</v>
          </cell>
          <cell r="F253">
            <v>686588.34000000008</v>
          </cell>
          <cell r="G253">
            <v>171390.67</v>
          </cell>
          <cell r="H253">
            <v>20357631.640000001</v>
          </cell>
          <cell r="I253">
            <v>0</v>
          </cell>
          <cell r="J253">
            <v>262219.15999999997</v>
          </cell>
          <cell r="K253">
            <v>21810939.810000002</v>
          </cell>
        </row>
        <row r="254">
          <cell r="C254" t="str">
            <v>7821</v>
          </cell>
          <cell r="D254" t="str">
            <v>Repairs To Furniture &amp; Fittings</v>
          </cell>
          <cell r="E254">
            <v>0</v>
          </cell>
          <cell r="F254">
            <v>9900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9900</v>
          </cell>
        </row>
        <row r="255">
          <cell r="C255">
            <v>7830</v>
          </cell>
          <cell r="D255" t="str">
            <v>Way Leaves Account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C256">
            <v>7840</v>
          </cell>
          <cell r="D256" t="str">
            <v xml:space="preserve">Shifting of Electricity Lines Account 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C257" t="str">
            <v xml:space="preserve"> 7841</v>
          </cell>
          <cell r="D257" t="str">
            <v>Disconnection and Reconnection Expense Account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C258">
            <v>7850</v>
          </cell>
          <cell r="D258" t="str">
            <v>Bad Debts Written Off Except Electricity Debts Account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C259">
            <v>7851</v>
          </cell>
          <cell r="D259" t="str">
            <v xml:space="preserve">Provision for Bad Debts (Other Than Electricity) Account </v>
          </cell>
          <cell r="E259">
            <v>0</v>
          </cell>
          <cell r="F259">
            <v>0</v>
          </cell>
          <cell r="G259">
            <v>0</v>
          </cell>
          <cell r="H259">
            <v>-531340.06000000006</v>
          </cell>
          <cell r="I259">
            <v>0</v>
          </cell>
          <cell r="J259">
            <v>0</v>
          </cell>
          <cell r="K259">
            <v>-531340.06000000006</v>
          </cell>
        </row>
        <row r="260">
          <cell r="C260">
            <v>7854</v>
          </cell>
          <cell r="D260" t="str">
            <v>Expenses on Cost Recovery Traning</v>
          </cell>
          <cell r="E260">
            <v>0</v>
          </cell>
          <cell r="F260">
            <v>25440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25440</v>
          </cell>
        </row>
        <row r="261">
          <cell r="C261">
            <v>7855</v>
          </cell>
          <cell r="D261" t="str">
            <v>Valuation &amp; servey of land &amp; Building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8024</v>
          </cell>
          <cell r="K261">
            <v>8024</v>
          </cell>
        </row>
        <row r="262">
          <cell r="C262">
            <v>7856</v>
          </cell>
          <cell r="D262" t="str">
            <v>Temporary Illuminations,Lighting for Special Occasions for H.E. President's and Prime Minister's visits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C263" t="str">
            <v>7857</v>
          </cell>
          <cell r="D263" t="str">
            <v>Expenses on Cost Recovery Jobs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C264" t="str">
            <v>7858</v>
          </cell>
          <cell r="D264" t="str">
            <v>Expense related to Government Grant funded projects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C265" t="str">
            <v>7859</v>
          </cell>
          <cell r="D265" t="str">
            <v>Expense related to Services in LVPP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C266">
            <v>7860</v>
          </cell>
          <cell r="D266" t="str">
            <v>Expense Incurred Due to COVID - 19 Account</v>
          </cell>
          <cell r="E266">
            <v>0</v>
          </cell>
          <cell r="F266">
            <v>0</v>
          </cell>
          <cell r="G266">
            <v>0</v>
          </cell>
          <cell r="H266">
            <v>18522.5</v>
          </cell>
          <cell r="I266">
            <v>0</v>
          </cell>
          <cell r="J266">
            <v>0</v>
          </cell>
          <cell r="K266">
            <v>18522.5</v>
          </cell>
        </row>
        <row r="267">
          <cell r="C267">
            <v>7861</v>
          </cell>
          <cell r="D267" t="str">
            <v>Common Cost - Head Quarters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C268">
            <v>7862</v>
          </cell>
          <cell r="D268" t="str">
            <v>Common Cost - Project Division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C269">
            <v>7863</v>
          </cell>
          <cell r="D269" t="str">
            <v>Common Cost- AM Division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C270">
            <v>8200</v>
          </cell>
          <cell r="D270" t="str">
            <v>Bank Charges Account</v>
          </cell>
          <cell r="E270">
            <v>0</v>
          </cell>
          <cell r="F270">
            <v>24455.22</v>
          </cell>
          <cell r="G270">
            <v>6051.3</v>
          </cell>
          <cell r="H270">
            <v>53442.749999999993</v>
          </cell>
          <cell r="I270">
            <v>6051.3</v>
          </cell>
          <cell r="J270">
            <v>6301.3</v>
          </cell>
          <cell r="K270">
            <v>96301.87</v>
          </cell>
        </row>
        <row r="271">
          <cell r="C271">
            <v>8300</v>
          </cell>
          <cell r="D271" t="str">
            <v>Exchange Rate Gain/ Losses  Account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C272">
            <v>8600</v>
          </cell>
          <cell r="D272" t="str">
            <v>Commission on Electricity Bill Collection Account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C273">
            <v>8601</v>
          </cell>
          <cell r="D273" t="str">
            <v>Commission for Cheque Discounting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C274">
            <v>9100</v>
          </cell>
          <cell r="D274" t="str">
            <v>Debit Tax Account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C275">
            <v>9110</v>
          </cell>
          <cell r="D275" t="str">
            <v>Stamp Duty Account</v>
          </cell>
          <cell r="E275">
            <v>0</v>
          </cell>
          <cell r="F275">
            <v>400</v>
          </cell>
          <cell r="G275">
            <v>25</v>
          </cell>
          <cell r="H275">
            <v>8075</v>
          </cell>
          <cell r="I275">
            <v>0</v>
          </cell>
          <cell r="J275">
            <v>1375</v>
          </cell>
          <cell r="K275">
            <v>9875</v>
          </cell>
        </row>
        <row r="276">
          <cell r="C276">
            <v>9120</v>
          </cell>
          <cell r="D276" t="str">
            <v>Write Off  of Unrecoverable Economic Service Charge Account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C277">
            <v>9140</v>
          </cell>
          <cell r="D277" t="str">
            <v>Other Taxes Account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C278">
            <v>9150</v>
          </cell>
          <cell r="D278" t="str">
            <v xml:space="preserve">Nation Building Tax (NBT) 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C279">
            <v>9200</v>
          </cell>
          <cell r="D279" t="str">
            <v>Return on Investment to the Treasury by way of Levy/Dividend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D280" t="str">
            <v>OTHER EXPENSES - SUB TOTAL</v>
          </cell>
          <cell r="E280">
            <v>381100</v>
          </cell>
          <cell r="F280">
            <v>23682908.429999996</v>
          </cell>
          <cell r="G280">
            <v>534203.64</v>
          </cell>
          <cell r="H280">
            <v>23479588.220000003</v>
          </cell>
          <cell r="I280">
            <v>414474.62999999995</v>
          </cell>
          <cell r="J280">
            <v>27217573.609999999</v>
          </cell>
          <cell r="K280">
            <v>75709848.530000001</v>
          </cell>
        </row>
        <row r="281">
          <cell r="D281" t="str">
            <v>FINANCE COST</v>
          </cell>
          <cell r="K281">
            <v>0</v>
          </cell>
        </row>
        <row r="282">
          <cell r="C282">
            <v>8100</v>
          </cell>
          <cell r="D282" t="str">
            <v>Overdraft  Interest Account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C283">
            <v>8110</v>
          </cell>
          <cell r="D283" t="str">
            <v xml:space="preserve">Long / Short Term Interest Account 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C284" t="str">
            <v>8120</v>
          </cell>
          <cell r="D284" t="str">
            <v>Samurdhy loan interest expenditure  Account*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C285" t="str">
            <v xml:space="preserve"> 8130</v>
          </cell>
          <cell r="D285" t="str">
            <v>Debenture Interest Account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C286">
            <v>8400</v>
          </cell>
          <cell r="D286" t="str">
            <v xml:space="preserve"> Lease interest Account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C287">
            <v>8500</v>
          </cell>
          <cell r="D287" t="str">
            <v>Project Loan Interest Account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C288">
            <v>8700</v>
          </cell>
          <cell r="D288" t="str">
            <v>Delayed Interest on IPP Payments Account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C289">
            <v>8710</v>
          </cell>
          <cell r="D289" t="str">
            <v xml:space="preserve"> Interest on delayed NCRE paymentAccount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C290">
            <v>8800</v>
          </cell>
          <cell r="D290" t="str">
            <v>Interest for delay payment to CPC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/>
      <sheetData sheetId="73"/>
      <sheetData sheetId="74"/>
      <sheetData sheetId="75"/>
      <sheetData sheetId="7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 01"/>
      <sheetName val="Annex 02 (TB)"/>
      <sheetName val="Annex 03(CS)"/>
      <sheetName val="Annex 04"/>
      <sheetName val="Annex 05"/>
      <sheetName val="Annex 06"/>
      <sheetName val="Annex 07"/>
      <sheetName val="Annex 08"/>
      <sheetName val="Annex 09.1(a)"/>
      <sheetName val="Annex 09.1(b)"/>
      <sheetName val="Annex 09.2"/>
      <sheetName val="Annex 09.3 a"/>
      <sheetName val="Annex 09.3"/>
      <sheetName val="10.1"/>
      <sheetName val="10.2"/>
      <sheetName val="10.3"/>
      <sheetName val="10.4"/>
      <sheetName val="11.1 "/>
      <sheetName val="10.5"/>
      <sheetName val="11.2 "/>
      <sheetName val="11.3"/>
      <sheetName val="LTL REC"/>
      <sheetName val="12"/>
      <sheetName val="13"/>
      <sheetName val="14"/>
      <sheetName val="15"/>
      <sheetName val="16"/>
      <sheetName val="17"/>
      <sheetName val="18"/>
      <sheetName val="INDEX"/>
      <sheetName val="Deference"/>
      <sheetName val="P&amp;L Presentation Format"/>
      <sheetName val="P&amp;L"/>
      <sheetName val="B.S "/>
      <sheetName val="CF Print"/>
      <sheetName val="P&amp;L Notes"/>
      <sheetName val="PPEnew"/>
      <sheetName val="B.S Notes"/>
      <sheetName val="Sheet3"/>
      <sheetName val="CURRENT ACCOUNT"/>
      <sheetName val="Cu AC "/>
      <sheetName val="TB"/>
      <sheetName val=" TB  520"/>
      <sheetName val=" TB 520.11"/>
      <sheetName val=" TB 520.20"/>
      <sheetName val=" TB 520.30"/>
      <sheetName val=" TB 520.70"/>
      <sheetName val=" TB 521"/>
      <sheetName val=" TB 522"/>
      <sheetName val=" TB 523"/>
      <sheetName val=" TB 524"/>
      <sheetName val=" TB 525 "/>
      <sheetName val=" TB 526"/>
      <sheetName val=" TB 527"/>
      <sheetName val="CS"/>
      <sheetName val=" CS 520 "/>
      <sheetName val=" CS 520.11"/>
      <sheetName val=" CS 520.20"/>
      <sheetName val=" CS 520.30"/>
      <sheetName val="WIP SUM"/>
      <sheetName val=" CS 520.70"/>
      <sheetName val=" CS 521"/>
      <sheetName val=" CS 522"/>
      <sheetName val=" CS 523"/>
      <sheetName val="CS 524"/>
      <sheetName val=" CS 525"/>
      <sheetName val=" CS 526"/>
      <sheetName val=" CS 527"/>
      <sheetName val="WIP AGE"/>
      <sheetName val="AGE DR "/>
      <sheetName val="AGE CR "/>
      <sheetName val="DR AGE 2"/>
      <sheetName val="DR CSW"/>
      <sheetName val="CR AGE 2"/>
      <sheetName val="CR CSW"/>
      <sheetName val="STOCK REPORT"/>
      <sheetName val="STK ADJ"/>
      <sheetName val="CS (B Vs A)"/>
      <sheetName val="Aproved  2015"/>
      <sheetName val=" TB 521 (2)"/>
      <sheetName val="Cost Sheet (B Vs. A)"/>
      <sheetName val="DR AGE"/>
      <sheetName val="CR AGE"/>
      <sheetName val="Budget"/>
      <sheetName val="WIP"/>
      <sheetName val="WIPAGE"/>
      <sheetName val="WIP REC"/>
      <sheetName val="WIP REC(Sum)"/>
      <sheetName val="TBSP"/>
      <sheetName val="A3800"/>
      <sheetName val="L9200L5610"/>
      <sheetName val="wip addition"/>
      <sheetName val="Transfer Out"/>
      <sheetName val="Sam"/>
      <sheetName val="Char"/>
      <sheetName val="Sheet1"/>
      <sheetName val="Sheet2"/>
      <sheetName val="Compatibility Report"/>
      <sheetName val="Stock Data"/>
      <sheetName val="Energy Cost"/>
      <sheetName val="SMD"/>
      <sheetName val="SirketK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0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0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0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</row>
        <row r="16">
          <cell r="C16" t="str">
            <v>SUB TOTAL OF TURNOVER</v>
          </cell>
          <cell r="D16">
            <v>0</v>
          </cell>
          <cell r="E16">
            <v>0</v>
          </cell>
        </row>
        <row r="17">
          <cell r="C17" t="str">
            <v xml:space="preserve"> INTEREST INCOME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2250796.75</v>
          </cell>
          <cell r="E19">
            <v>2250796.75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C21" t="str">
            <v>SUB TOTAL OF INTEREST INCOME</v>
          </cell>
          <cell r="D21">
            <v>2250796.75</v>
          </cell>
          <cell r="E21">
            <v>2250796.75</v>
          </cell>
        </row>
        <row r="22">
          <cell r="C22" t="str">
            <v>DIVIDEND INCOME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</row>
        <row r="24">
          <cell r="C24" t="str">
            <v>SUB TOTAL OF DIVIDEND INCOME</v>
          </cell>
          <cell r="D24">
            <v>0</v>
          </cell>
          <cell r="E24">
            <v>0</v>
          </cell>
        </row>
        <row r="25">
          <cell r="C25" t="str">
            <v xml:space="preserve"> OVERHEAD RECOVERIES</v>
          </cell>
        </row>
        <row r="26">
          <cell r="B26">
            <v>1330</v>
          </cell>
          <cell r="C26" t="str">
            <v>Overhead Recoveries Account</v>
          </cell>
          <cell r="D26">
            <v>0</v>
          </cell>
          <cell r="E26">
            <v>0</v>
          </cell>
        </row>
        <row r="27">
          <cell r="B27">
            <v>1510</v>
          </cell>
          <cell r="C27" t="str">
            <v>Recoveries on House Rent Account</v>
          </cell>
          <cell r="D27">
            <v>18245</v>
          </cell>
          <cell r="E27">
            <v>18245</v>
          </cell>
        </row>
        <row r="28">
          <cell r="B28">
            <v>1520</v>
          </cell>
          <cell r="C28" t="str">
            <v>Recoveries on Telephone Account</v>
          </cell>
          <cell r="D28">
            <v>19264</v>
          </cell>
          <cell r="E28">
            <v>19264</v>
          </cell>
        </row>
        <row r="29">
          <cell r="B29">
            <v>1530</v>
          </cell>
          <cell r="C29" t="str">
            <v>Recoveries on Use of Motor Vehicle Account</v>
          </cell>
          <cell r="D29">
            <v>4000</v>
          </cell>
          <cell r="E29">
            <v>4000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</row>
        <row r="32">
          <cell r="C32" t="str">
            <v>SUB TOTAL OF OVERHEAD RECOVERIES</v>
          </cell>
          <cell r="D32">
            <v>41509</v>
          </cell>
          <cell r="E32">
            <v>41509</v>
          </cell>
        </row>
        <row r="33">
          <cell r="C33" t="str">
            <v xml:space="preserve"> PROFIT / LOSS ON DISPOSAl OF PPE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562425</v>
          </cell>
          <cell r="E35">
            <v>562425</v>
          </cell>
        </row>
        <row r="36">
          <cell r="C36" t="str">
            <v>SUB TOTAL OF PROFIT / LOSS ON DISPOSAl OF PPE</v>
          </cell>
          <cell r="D36">
            <v>562425</v>
          </cell>
          <cell r="E36">
            <v>562425</v>
          </cell>
        </row>
        <row r="37">
          <cell r="C37" t="str">
            <v xml:space="preserve"> MISSELANIOUS INCOME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</row>
        <row r="39">
          <cell r="B39">
            <v>1300</v>
          </cell>
          <cell r="C39" t="str">
            <v>Miscellaneous Income Account</v>
          </cell>
          <cell r="D39">
            <v>12531724.73</v>
          </cell>
          <cell r="E39">
            <v>12531724.73</v>
          </cell>
        </row>
        <row r="40">
          <cell r="B40">
            <v>1305</v>
          </cell>
          <cell r="C40" t="str">
            <v>Samurdhi Loan Interest  Account</v>
          </cell>
          <cell r="D40">
            <v>1527.5</v>
          </cell>
          <cell r="E40">
            <v>1527.5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7500</v>
          </cell>
          <cell r="E42">
            <v>7500</v>
          </cell>
        </row>
        <row r="43">
          <cell r="B43">
            <v>1320</v>
          </cell>
          <cell r="C43" t="str">
            <v>Re-usable Material Account</v>
          </cell>
          <cell r="D43">
            <v>0</v>
          </cell>
          <cell r="E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0</v>
          </cell>
          <cell r="E45">
            <v>0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359000</v>
          </cell>
          <cell r="E46">
            <v>359000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</row>
        <row r="48">
          <cell r="B48">
            <v>1370</v>
          </cell>
          <cell r="C48" t="str">
            <v>Income on Cost Recovery Jobs Account</v>
          </cell>
          <cell r="D48">
            <v>25153400.829999998</v>
          </cell>
          <cell r="E48">
            <v>25153400.829999998</v>
          </cell>
        </row>
        <row r="49">
          <cell r="B49">
            <v>1380</v>
          </cell>
          <cell r="C49" t="str">
            <v>Service Main Application Fee Account</v>
          </cell>
          <cell r="D49">
            <v>117500</v>
          </cell>
          <cell r="E49">
            <v>117500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C52" t="str">
            <v>SUB TOTAL OF MISSELANIOUS INCOME</v>
          </cell>
          <cell r="D52">
            <v>38170653.060000002</v>
          </cell>
          <cell r="E52">
            <v>38170653.060000002</v>
          </cell>
        </row>
        <row r="53">
          <cell r="C53" t="str">
            <v>TOTAL INCOME</v>
          </cell>
          <cell r="D53">
            <v>41025383.810000002</v>
          </cell>
          <cell r="E53">
            <v>41025383.810000002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D55">
            <v>22715740.260000002</v>
          </cell>
          <cell r="E55">
            <v>22715740.260000002</v>
          </cell>
        </row>
        <row r="56">
          <cell r="B56">
            <v>2110</v>
          </cell>
          <cell r="C56" t="str">
            <v>Management Staff Allowances Account</v>
          </cell>
          <cell r="D56">
            <v>4530021.2300000004</v>
          </cell>
          <cell r="E56">
            <v>4530021.2300000004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41493198.390000001</v>
          </cell>
          <cell r="E58">
            <v>41493198.390000001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9916348.9100000001</v>
          </cell>
          <cell r="E60">
            <v>9916348.9100000001</v>
          </cell>
        </row>
        <row r="61">
          <cell r="B61">
            <v>2310</v>
          </cell>
          <cell r="C61" t="str">
            <v>Other Staff Allowances Account</v>
          </cell>
          <cell r="D61">
            <v>1186477.29</v>
          </cell>
          <cell r="E61">
            <v>1186477.29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0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0</v>
          </cell>
        </row>
        <row r="68">
          <cell r="B68">
            <v>2334</v>
          </cell>
          <cell r="C68" t="str">
            <v>Contract Employee Cost Account</v>
          </cell>
          <cell r="D68">
            <v>1870512.43</v>
          </cell>
          <cell r="E68">
            <v>1870512.43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0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644961.48</v>
          </cell>
          <cell r="E70">
            <v>644961.48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363803.83</v>
          </cell>
          <cell r="E71">
            <v>363803.83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0</v>
          </cell>
          <cell r="E73">
            <v>0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0</v>
          </cell>
          <cell r="E76">
            <v>0</v>
          </cell>
        </row>
        <row r="77">
          <cell r="B77">
            <v>2540</v>
          </cell>
          <cell r="C77" t="str">
            <v>Allowances to Trainees Account</v>
          </cell>
          <cell r="D77">
            <v>2036550</v>
          </cell>
          <cell r="E77">
            <v>2036550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0</v>
          </cell>
          <cell r="E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33270</v>
          </cell>
          <cell r="E82">
            <v>33270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59064.2</v>
          </cell>
          <cell r="E84">
            <v>59064.2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</row>
        <row r="86">
          <cell r="B86">
            <v>2631</v>
          </cell>
          <cell r="C86" t="str">
            <v>Staff Welfare  - Medical Expenses Account</v>
          </cell>
          <cell r="D86">
            <v>2000</v>
          </cell>
          <cell r="E86">
            <v>2000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2240</v>
          </cell>
          <cell r="E87">
            <v>2240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2625478.9</v>
          </cell>
          <cell r="E89">
            <v>2625478.9</v>
          </cell>
        </row>
        <row r="90">
          <cell r="B90">
            <v>2641</v>
          </cell>
          <cell r="C90" t="str">
            <v>Medical Expenses  - Out door Account</v>
          </cell>
          <cell r="D90">
            <v>1428059.47</v>
          </cell>
          <cell r="E90">
            <v>1428059.47</v>
          </cell>
        </row>
        <row r="91">
          <cell r="B91">
            <v>2650</v>
          </cell>
          <cell r="C91" t="str">
            <v>Uniforms &amp; Protective Clothing Account</v>
          </cell>
          <cell r="D91">
            <v>109889.8</v>
          </cell>
          <cell r="E91">
            <v>109889.8</v>
          </cell>
        </row>
        <row r="92">
          <cell r="B92">
            <v>2660</v>
          </cell>
          <cell r="C92" t="str">
            <v>Reimbursement of loan Interest Account</v>
          </cell>
          <cell r="D92">
            <v>10500817.42</v>
          </cell>
          <cell r="E92">
            <v>10500817.42</v>
          </cell>
        </row>
        <row r="93">
          <cell r="B93">
            <v>2670</v>
          </cell>
          <cell r="C93" t="str">
            <v>PAYE Tax  Account</v>
          </cell>
          <cell r="D93">
            <v>19126098.899999999</v>
          </cell>
          <cell r="E93">
            <v>19126098.899999999</v>
          </cell>
        </row>
        <row r="94">
          <cell r="B94">
            <v>2680</v>
          </cell>
          <cell r="C94" t="str">
            <v>CEB Pension Fund Account</v>
          </cell>
          <cell r="D94">
            <v>5481687.0899999999</v>
          </cell>
          <cell r="E94">
            <v>5481687.0899999999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2163073.5099999998</v>
          </cell>
          <cell r="E96">
            <v>2163073.5099999998</v>
          </cell>
        </row>
        <row r="97">
          <cell r="B97">
            <v>2710</v>
          </cell>
          <cell r="C97" t="str">
            <v>CEB Provident Fund Account</v>
          </cell>
          <cell r="D97">
            <v>10992992.49</v>
          </cell>
          <cell r="E97">
            <v>10992992.49</v>
          </cell>
        </row>
        <row r="98">
          <cell r="B98">
            <v>27</v>
          </cell>
          <cell r="C98" t="str">
            <v>personel cost on pension fund</v>
          </cell>
          <cell r="D98">
            <v>0</v>
          </cell>
          <cell r="E98">
            <v>0</v>
          </cell>
        </row>
        <row r="99">
          <cell r="C99" t="str">
            <v>PERSONNEL EXPENSES - SUB TOTAL</v>
          </cell>
          <cell r="D99">
            <v>137282285.60000002</v>
          </cell>
          <cell r="E99">
            <v>137282285.60000002</v>
          </cell>
        </row>
        <row r="100">
          <cell r="C100" t="str">
            <v xml:space="preserve"> MATERIAL COST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0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0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</row>
        <row r="115">
          <cell r="B115">
            <v>3212</v>
          </cell>
          <cell r="C115" t="str">
            <v>Expenses on Tug Boats and Barges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0</v>
          </cell>
        </row>
        <row r="119">
          <cell r="B119">
            <v>3300</v>
          </cell>
          <cell r="C119" t="str">
            <v>Loose Tools Account</v>
          </cell>
          <cell r="D119">
            <v>14877</v>
          </cell>
          <cell r="E119">
            <v>14877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0</v>
          </cell>
          <cell r="E122">
            <v>0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C125" t="str">
            <v>MATERIAL COST - SUB TOTAL</v>
          </cell>
          <cell r="D125">
            <v>14877</v>
          </cell>
          <cell r="E125">
            <v>14877</v>
          </cell>
        </row>
        <row r="126">
          <cell r="C126" t="str">
            <v>ACCOMMODATION EXPENSES</v>
          </cell>
        </row>
        <row r="127">
          <cell r="B127">
            <v>4100</v>
          </cell>
          <cell r="C127" t="str">
            <v>Housing Rent and Rates Account</v>
          </cell>
          <cell r="D127">
            <v>1088180.22</v>
          </cell>
          <cell r="E127">
            <v>1088180.22</v>
          </cell>
        </row>
        <row r="128">
          <cell r="B128">
            <v>4110</v>
          </cell>
          <cell r="C128" t="str">
            <v>Building Maintenance Account</v>
          </cell>
          <cell r="D128">
            <v>510601</v>
          </cell>
          <cell r="E128">
            <v>510601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507326.08</v>
          </cell>
          <cell r="E130">
            <v>507326.08</v>
          </cell>
        </row>
        <row r="131">
          <cell r="B131">
            <v>4300</v>
          </cell>
          <cell r="C131" t="str">
            <v>Electricity  Consumption Account</v>
          </cell>
          <cell r="D131">
            <v>5085400.8</v>
          </cell>
          <cell r="E131">
            <v>5085400.8</v>
          </cell>
        </row>
        <row r="132">
          <cell r="B132">
            <v>4400</v>
          </cell>
          <cell r="C132" t="str">
            <v>Water Supply Charges Account</v>
          </cell>
          <cell r="D132">
            <v>340121.08</v>
          </cell>
          <cell r="E132">
            <v>340121.08</v>
          </cell>
        </row>
        <row r="133">
          <cell r="C133" t="str">
            <v>ACCOMMODATION EXPENSES - SUB TOTAL</v>
          </cell>
          <cell r="D133">
            <v>7531629.1799999997</v>
          </cell>
          <cell r="E133">
            <v>7531629.1799999997</v>
          </cell>
        </row>
        <row r="134">
          <cell r="C134" t="str">
            <v>TRANSPORT &amp; COMMUNICATION EXPENSES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1236568.1399999999</v>
          </cell>
          <cell r="E135">
            <v>1236568.1399999999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4269997.7300000004</v>
          </cell>
          <cell r="E137">
            <v>4269997.7300000004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4418852.62</v>
          </cell>
          <cell r="E138">
            <v>4418852.62</v>
          </cell>
        </row>
        <row r="139">
          <cell r="B139">
            <v>5220</v>
          </cell>
          <cell r="C139" t="str">
            <v>Vehicle Hire Charges Account</v>
          </cell>
          <cell r="D139">
            <v>8996824.1799999997</v>
          </cell>
          <cell r="E139">
            <v>8996824.1799999997</v>
          </cell>
        </row>
        <row r="140">
          <cell r="B140">
            <v>5230</v>
          </cell>
          <cell r="C140" t="str">
            <v>Material Transport Charges Account</v>
          </cell>
          <cell r="D140">
            <v>149850</v>
          </cell>
          <cell r="E140">
            <v>149850</v>
          </cell>
        </row>
        <row r="141">
          <cell r="B141">
            <v>5300</v>
          </cell>
          <cell r="C141" t="str">
            <v>Office Supplies Account</v>
          </cell>
          <cell r="D141">
            <v>12595397.26</v>
          </cell>
          <cell r="E141">
            <v>12595397.26</v>
          </cell>
        </row>
        <row r="142">
          <cell r="B142">
            <v>5310</v>
          </cell>
          <cell r="C142" t="str">
            <v>Postage Account</v>
          </cell>
          <cell r="D142">
            <v>153750</v>
          </cell>
          <cell r="E142">
            <v>153750</v>
          </cell>
        </row>
        <row r="143">
          <cell r="B143">
            <v>5320</v>
          </cell>
          <cell r="C143" t="str">
            <v>Telecommunications Account</v>
          </cell>
          <cell r="D143">
            <v>1332324.32</v>
          </cell>
          <cell r="E143">
            <v>1332324.32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</v>
          </cell>
          <cell r="D145">
            <v>560848.9</v>
          </cell>
          <cell r="E145">
            <v>560848.9</v>
          </cell>
        </row>
        <row r="146">
          <cell r="B146">
            <v>5323</v>
          </cell>
          <cell r="C146" t="str">
            <v>Expenses on Software licenses and  maintenance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D147">
            <v>222832.5</v>
          </cell>
          <cell r="E147">
            <v>222832.5</v>
          </cell>
        </row>
        <row r="148">
          <cell r="C148" t="str">
            <v>TRANSPORT &amp; COMMUNICATION EXP. - SUB TOTAL</v>
          </cell>
          <cell r="D148">
            <v>33937245.649999999</v>
          </cell>
          <cell r="E148">
            <v>33937245.649999999</v>
          </cell>
        </row>
        <row r="149">
          <cell r="C149" t="str">
            <v xml:space="preserve"> DEPRECIATION</v>
          </cell>
        </row>
        <row r="150">
          <cell r="B150">
            <v>6000</v>
          </cell>
          <cell r="C150" t="str">
            <v>Depreciation Account</v>
          </cell>
          <cell r="D150">
            <v>0</v>
          </cell>
          <cell r="E150">
            <v>0</v>
          </cell>
        </row>
        <row r="151">
          <cell r="C151" t="str">
            <v>DEPRECIATION - SUB TOTAL</v>
          </cell>
          <cell r="D151">
            <v>0</v>
          </cell>
          <cell r="E151">
            <v>0</v>
          </cell>
        </row>
        <row r="152">
          <cell r="C152" t="str">
            <v xml:space="preserve"> OTHER EXPENSES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958191.15</v>
          </cell>
          <cell r="E154">
            <v>958191.15</v>
          </cell>
        </row>
        <row r="155">
          <cell r="B155">
            <v>7211</v>
          </cell>
          <cell r="C155" t="str">
            <v>Payment to Manpower Agencies Account</v>
          </cell>
          <cell r="D155">
            <v>7496024.21</v>
          </cell>
          <cell r="E155">
            <v>7496024.21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150000</v>
          </cell>
          <cell r="E157">
            <v>150000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859000</v>
          </cell>
          <cell r="E166">
            <v>859000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0</v>
          </cell>
          <cell r="E168">
            <v>0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</row>
        <row r="170">
          <cell r="B170">
            <v>7510</v>
          </cell>
          <cell r="C170" t="str">
            <v>Entertainment Account</v>
          </cell>
          <cell r="D170">
            <v>145751.37</v>
          </cell>
          <cell r="E170">
            <v>145751.37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0</v>
          </cell>
          <cell r="E172">
            <v>0</v>
          </cell>
        </row>
        <row r="173">
          <cell r="B173">
            <v>7600</v>
          </cell>
          <cell r="C173" t="str">
            <v>Insurance Premiums Account</v>
          </cell>
          <cell r="D173">
            <v>120207.17</v>
          </cell>
          <cell r="E173">
            <v>120207.17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266639.03999999998</v>
          </cell>
          <cell r="E181">
            <v>266639.03999999998</v>
          </cell>
        </row>
        <row r="182">
          <cell r="B182">
            <v>7800</v>
          </cell>
          <cell r="C182" t="str">
            <v>Miscellaneous Expense Account</v>
          </cell>
          <cell r="D182">
            <v>114467.35</v>
          </cell>
          <cell r="E182">
            <v>114467.35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103174.5</v>
          </cell>
          <cell r="E184">
            <v>103174.5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>Expenses on Cost Recovery Traning</v>
          </cell>
          <cell r="D191">
            <v>0</v>
          </cell>
          <cell r="E191">
            <v>0</v>
          </cell>
        </row>
        <row r="192">
          <cell r="C192" t="str">
            <v>OTHER EXPENSES - SUB TOTAL</v>
          </cell>
          <cell r="D192">
            <v>10213454.789999997</v>
          </cell>
          <cell r="E192">
            <v>10213454.789999997</v>
          </cell>
        </row>
        <row r="193">
          <cell r="C193" t="str">
            <v>FINANCE COST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33769</v>
          </cell>
          <cell r="E196">
            <v>33769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4994871.2699999996</v>
          </cell>
          <cell r="E200">
            <v>4994871.2699999996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</row>
        <row r="208">
          <cell r="B208">
            <v>9300</v>
          </cell>
          <cell r="C208" t="str">
            <v>Deferred Tax Expense / (Income) - Net</v>
          </cell>
          <cell r="D208">
            <v>0</v>
          </cell>
          <cell r="E208">
            <v>0</v>
          </cell>
        </row>
        <row r="209">
          <cell r="C209" t="str">
            <v>FINANCE COST - SUB TOTAL</v>
          </cell>
          <cell r="D209">
            <v>5028640.2699999996</v>
          </cell>
          <cell r="E209">
            <v>5028640.2699999996</v>
          </cell>
        </row>
      </sheetData>
      <sheetData sheetId="56" refreshError="1"/>
      <sheetData sheetId="57" refreshError="1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0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0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0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</row>
        <row r="16">
          <cell r="C16" t="str">
            <v>SUB TOTAL OF TURNOVER</v>
          </cell>
          <cell r="D16">
            <v>0</v>
          </cell>
          <cell r="E16">
            <v>0</v>
          </cell>
        </row>
        <row r="17">
          <cell r="C17" t="str">
            <v xml:space="preserve"> INTEREST INCOME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758555.01</v>
          </cell>
          <cell r="E19">
            <v>758555.01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C21" t="str">
            <v>SUB TOTAL OF INTEREST INCOME</v>
          </cell>
          <cell r="D21">
            <v>758555.01</v>
          </cell>
          <cell r="E21">
            <v>758555.01</v>
          </cell>
        </row>
        <row r="22">
          <cell r="C22" t="str">
            <v>DIVIDEND INCOME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</row>
        <row r="24">
          <cell r="C24" t="str">
            <v>SUB TOTAL OF DIVIDEND INCOME</v>
          </cell>
          <cell r="D24">
            <v>0</v>
          </cell>
          <cell r="E24">
            <v>0</v>
          </cell>
        </row>
        <row r="25">
          <cell r="C25" t="str">
            <v xml:space="preserve"> OVERHEAD RECOVERIES</v>
          </cell>
        </row>
        <row r="26">
          <cell r="B26">
            <v>1330</v>
          </cell>
          <cell r="C26" t="str">
            <v>Overhead Recoveries Account</v>
          </cell>
          <cell r="D26">
            <v>65334167.299999997</v>
          </cell>
          <cell r="E26">
            <v>65334167.299999997</v>
          </cell>
        </row>
        <row r="27">
          <cell r="B27">
            <v>1510</v>
          </cell>
          <cell r="C27" t="str">
            <v>Recoveries on House Rent Account</v>
          </cell>
          <cell r="D27">
            <v>1796.2</v>
          </cell>
          <cell r="E27">
            <v>1796.2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</row>
        <row r="30">
          <cell r="B30">
            <v>1540</v>
          </cell>
          <cell r="C30" t="str">
            <v>Recoveries on Circuit Bungalow Account</v>
          </cell>
          <cell r="D30">
            <v>250</v>
          </cell>
          <cell r="E30">
            <v>250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</row>
        <row r="32">
          <cell r="C32" t="str">
            <v>SUB TOTAL OF OVERHEAD RECOVERIES</v>
          </cell>
          <cell r="D32">
            <v>65336213.5</v>
          </cell>
          <cell r="E32">
            <v>65336213.5</v>
          </cell>
        </row>
        <row r="33">
          <cell r="C33" t="str">
            <v xml:space="preserve"> PROFIT / LOSS ON DISPOSAl OF PPE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</row>
        <row r="36">
          <cell r="C36" t="str">
            <v>SUB TOTAL OF PROFIT / LOSS ON DISPOSAl OF PPE</v>
          </cell>
          <cell r="D36">
            <v>0</v>
          </cell>
          <cell r="E36">
            <v>0</v>
          </cell>
        </row>
        <row r="37">
          <cell r="C37" t="str">
            <v xml:space="preserve"> MISSELANIOUS INCOME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</row>
        <row r="39">
          <cell r="B39">
            <v>1300</v>
          </cell>
          <cell r="C39" t="str">
            <v>Miscellaneous Income Account</v>
          </cell>
          <cell r="D39">
            <v>4986384.3</v>
          </cell>
          <cell r="E39">
            <v>4986384.3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</row>
        <row r="43">
          <cell r="B43">
            <v>1320</v>
          </cell>
          <cell r="C43" t="str">
            <v>Re-usable Material Account</v>
          </cell>
          <cell r="D43">
            <v>0</v>
          </cell>
          <cell r="E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0</v>
          </cell>
          <cell r="E45">
            <v>0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0</v>
          </cell>
          <cell r="E46">
            <v>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C52" t="str">
            <v>SUB TOTAL OF MISSELANIOUS INCOME</v>
          </cell>
          <cell r="D52">
            <v>4986384.3</v>
          </cell>
          <cell r="E52">
            <v>4986384.3</v>
          </cell>
        </row>
        <row r="53">
          <cell r="C53" t="str">
            <v>TOTAL INCOME</v>
          </cell>
          <cell r="D53">
            <v>71081152.810000002</v>
          </cell>
          <cell r="E53">
            <v>71081152.810000002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D55">
            <v>2922592.26</v>
          </cell>
          <cell r="E55">
            <v>2922592.26</v>
          </cell>
        </row>
        <row r="56">
          <cell r="B56">
            <v>2110</v>
          </cell>
          <cell r="C56" t="str">
            <v>Management Staff Allowances Account</v>
          </cell>
          <cell r="D56">
            <v>1090557.96</v>
          </cell>
          <cell r="E56">
            <v>1090557.96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15753613.57</v>
          </cell>
          <cell r="E58">
            <v>15753613.57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5609149.3899999997</v>
          </cell>
          <cell r="E60">
            <v>5609149.3899999997</v>
          </cell>
        </row>
        <row r="61">
          <cell r="B61">
            <v>2310</v>
          </cell>
          <cell r="C61" t="str">
            <v>Other Staff Allowances Account</v>
          </cell>
          <cell r="D61">
            <v>618906.22</v>
          </cell>
          <cell r="E61">
            <v>618906.22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3737594.7</v>
          </cell>
          <cell r="E64">
            <v>3737594.7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329025</v>
          </cell>
          <cell r="E67">
            <v>329025</v>
          </cell>
        </row>
        <row r="68">
          <cell r="B68">
            <v>2334</v>
          </cell>
          <cell r="C68" t="str">
            <v>Contract Employee Cost Account</v>
          </cell>
          <cell r="D68">
            <v>3180411.99</v>
          </cell>
          <cell r="E68">
            <v>3180411.99</v>
          </cell>
        </row>
        <row r="69">
          <cell r="B69">
            <v>2340</v>
          </cell>
          <cell r="C69" t="str">
            <v>Labor Rate Variance Account</v>
          </cell>
          <cell r="D69">
            <v>-55912.1</v>
          </cell>
          <cell r="E69">
            <v>-55912.1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75019.97</v>
          </cell>
          <cell r="E70">
            <v>75019.97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101134.53</v>
          </cell>
          <cell r="E71">
            <v>101134.53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0</v>
          </cell>
          <cell r="E73">
            <v>0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0</v>
          </cell>
          <cell r="E76">
            <v>0</v>
          </cell>
        </row>
        <row r="77">
          <cell r="B77">
            <v>2540</v>
          </cell>
          <cell r="C77" t="str">
            <v>Allowances to Trainees Account</v>
          </cell>
          <cell r="D77">
            <v>65600</v>
          </cell>
          <cell r="E77">
            <v>65600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0</v>
          </cell>
          <cell r="E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10750</v>
          </cell>
          <cell r="E82">
            <v>10750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19838.240000000002</v>
          </cell>
          <cell r="E84">
            <v>19838.240000000002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6465</v>
          </cell>
          <cell r="E87">
            <v>6465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784421.21</v>
          </cell>
          <cell r="E89">
            <v>784421.21</v>
          </cell>
        </row>
        <row r="90">
          <cell r="B90">
            <v>2641</v>
          </cell>
          <cell r="C90" t="str">
            <v>Medical Expenses  - Out door Account</v>
          </cell>
          <cell r="D90">
            <v>689286.56</v>
          </cell>
          <cell r="E90">
            <v>689286.56</v>
          </cell>
        </row>
        <row r="91">
          <cell r="B91">
            <v>2650</v>
          </cell>
          <cell r="C91" t="str">
            <v>Uniforms &amp; Protective Clothing Account</v>
          </cell>
          <cell r="D91">
            <v>283143.81</v>
          </cell>
          <cell r="E91">
            <v>283143.81</v>
          </cell>
        </row>
        <row r="92">
          <cell r="B92">
            <v>2660</v>
          </cell>
          <cell r="C92" t="str">
            <v>Reimbursement of loan Interest Account</v>
          </cell>
          <cell r="D92">
            <v>4428447.07</v>
          </cell>
          <cell r="E92">
            <v>4428447.07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0</v>
          </cell>
        </row>
        <row r="94">
          <cell r="B94">
            <v>2680</v>
          </cell>
          <cell r="C94" t="str">
            <v>CEB Pension Fund Account</v>
          </cell>
          <cell r="D94">
            <v>2709838.92</v>
          </cell>
          <cell r="E94">
            <v>2709838.92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1098118.47</v>
          </cell>
          <cell r="E96">
            <v>1098118.47</v>
          </cell>
        </row>
        <row r="97">
          <cell r="B97">
            <v>2710</v>
          </cell>
          <cell r="C97" t="str">
            <v>CEB Provident Fund Account</v>
          </cell>
          <cell r="D97">
            <v>5490592.8200000003</v>
          </cell>
          <cell r="E97">
            <v>5490592.8200000003</v>
          </cell>
        </row>
        <row r="98">
          <cell r="C98" t="str">
            <v>personel cost on pension fund</v>
          </cell>
          <cell r="D98">
            <v>0</v>
          </cell>
          <cell r="E98">
            <v>0</v>
          </cell>
        </row>
        <row r="99">
          <cell r="C99" t="str">
            <v>PERSONNEL EXPENSES - SUB TOTAL</v>
          </cell>
          <cell r="D99">
            <v>48948595.589999996</v>
          </cell>
          <cell r="E99">
            <v>48948595.589999996</v>
          </cell>
        </row>
        <row r="100">
          <cell r="C100" t="str">
            <v xml:space="preserve"> MATERIAL COST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0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0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</row>
        <row r="115">
          <cell r="B115">
            <v>3212</v>
          </cell>
          <cell r="C115" t="str">
            <v>Expenses on Tug Boats and Barges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-886485</v>
          </cell>
          <cell r="E116">
            <v>-886485</v>
          </cell>
        </row>
        <row r="117">
          <cell r="B117">
            <v>3225</v>
          </cell>
          <cell r="C117" t="str">
            <v>Fixing of Boundary Meters Account</v>
          </cell>
          <cell r="D117">
            <v>1445541.58</v>
          </cell>
          <cell r="E117">
            <v>1445541.58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0</v>
          </cell>
        </row>
        <row r="119">
          <cell r="B119">
            <v>3300</v>
          </cell>
          <cell r="C119" t="str">
            <v>Loose Tools Account</v>
          </cell>
          <cell r="D119">
            <v>19190</v>
          </cell>
          <cell r="E119">
            <v>19190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0</v>
          </cell>
          <cell r="E122">
            <v>0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C125" t="str">
            <v>MATERIAL COST - SUB TOTAL</v>
          </cell>
          <cell r="D125">
            <v>578246.58000000007</v>
          </cell>
          <cell r="E125">
            <v>578246.58000000007</v>
          </cell>
        </row>
        <row r="126">
          <cell r="C126" t="str">
            <v>ACCOMMODATION EXPENSES</v>
          </cell>
        </row>
        <row r="127">
          <cell r="B127">
            <v>4100</v>
          </cell>
          <cell r="C127" t="str">
            <v>Housing Rent and Rates Account</v>
          </cell>
          <cell r="D127">
            <v>0</v>
          </cell>
          <cell r="E127">
            <v>0</v>
          </cell>
        </row>
        <row r="128">
          <cell r="B128">
            <v>4110</v>
          </cell>
          <cell r="C128" t="str">
            <v>Building Maintenance Account</v>
          </cell>
          <cell r="D128">
            <v>1102</v>
          </cell>
          <cell r="E128">
            <v>1102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0</v>
          </cell>
          <cell r="E130">
            <v>0</v>
          </cell>
        </row>
        <row r="131">
          <cell r="B131">
            <v>4300</v>
          </cell>
          <cell r="C131" t="str">
            <v>Electricity  Consumption Account</v>
          </cell>
          <cell r="D131">
            <v>0</v>
          </cell>
          <cell r="E131">
            <v>0</v>
          </cell>
        </row>
        <row r="132">
          <cell r="B132">
            <v>4400</v>
          </cell>
          <cell r="C132" t="str">
            <v>Water Supply Charges Account</v>
          </cell>
          <cell r="D132">
            <v>0</v>
          </cell>
          <cell r="E132">
            <v>0</v>
          </cell>
        </row>
        <row r="133">
          <cell r="C133" t="str">
            <v>ACCOMMODATION EXPENSES - SUB TOTAL</v>
          </cell>
          <cell r="D133">
            <v>1102</v>
          </cell>
          <cell r="E133">
            <v>1102</v>
          </cell>
        </row>
        <row r="134">
          <cell r="C134" t="str">
            <v>TRANSPORT &amp; COMMUNICATION EXPENSES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227909.7</v>
          </cell>
          <cell r="E135">
            <v>227909.7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6767561.6500000004</v>
          </cell>
          <cell r="E137">
            <v>6767561.6500000004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814714.97</v>
          </cell>
          <cell r="E138">
            <v>814714.97</v>
          </cell>
        </row>
        <row r="139">
          <cell r="B139">
            <v>5220</v>
          </cell>
          <cell r="C139" t="str">
            <v>Vehicle Hire Charges Account</v>
          </cell>
          <cell r="D139">
            <v>768810.53</v>
          </cell>
          <cell r="E139">
            <v>768810.53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469528.84</v>
          </cell>
          <cell r="E141">
            <v>469528.84</v>
          </cell>
        </row>
        <row r="142">
          <cell r="B142">
            <v>5310</v>
          </cell>
          <cell r="C142" t="str">
            <v>Postage Account</v>
          </cell>
          <cell r="D142">
            <v>51610</v>
          </cell>
          <cell r="E142">
            <v>51610</v>
          </cell>
        </row>
        <row r="143">
          <cell r="B143">
            <v>5320</v>
          </cell>
          <cell r="C143" t="str">
            <v>Telecommunications Account</v>
          </cell>
          <cell r="D143">
            <v>157060.62</v>
          </cell>
          <cell r="E143">
            <v>157060.62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</v>
          </cell>
          <cell r="D145">
            <v>0</v>
          </cell>
          <cell r="E145">
            <v>0</v>
          </cell>
        </row>
        <row r="146">
          <cell r="B146">
            <v>5323</v>
          </cell>
          <cell r="C146" t="str">
            <v>Expenses on Software licenses and  maintenance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D147">
            <v>0</v>
          </cell>
          <cell r="E147">
            <v>0</v>
          </cell>
        </row>
        <row r="148">
          <cell r="C148" t="str">
            <v>TRANSPORT &amp; COMMUNICATION EXP. - SUB TOTAL</v>
          </cell>
          <cell r="D148">
            <v>9257196.3099999987</v>
          </cell>
          <cell r="E148">
            <v>9257196.3099999987</v>
          </cell>
        </row>
        <row r="149">
          <cell r="C149" t="str">
            <v xml:space="preserve"> DEPRECIATION</v>
          </cell>
        </row>
        <row r="150">
          <cell r="B150">
            <v>6000</v>
          </cell>
          <cell r="C150" t="str">
            <v>Depreciation Account</v>
          </cell>
          <cell r="D150">
            <v>0</v>
          </cell>
          <cell r="E150">
            <v>0</v>
          </cell>
        </row>
        <row r="151">
          <cell r="C151" t="str">
            <v>DEPRECIATION - SUB TOTAL</v>
          </cell>
          <cell r="D151">
            <v>0</v>
          </cell>
          <cell r="E151">
            <v>0</v>
          </cell>
        </row>
        <row r="152">
          <cell r="C152" t="str">
            <v xml:space="preserve"> OTHER EXPENSES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0</v>
          </cell>
          <cell r="E154">
            <v>0</v>
          </cell>
        </row>
        <row r="155">
          <cell r="B155">
            <v>7211</v>
          </cell>
          <cell r="C155" t="str">
            <v>Payment to Manpower Agencies Account</v>
          </cell>
          <cell r="D155">
            <v>7104686.2800000003</v>
          </cell>
          <cell r="E155">
            <v>7104686.2800000003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560</v>
          </cell>
          <cell r="E160">
            <v>560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0</v>
          </cell>
          <cell r="E168">
            <v>0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</row>
        <row r="170">
          <cell r="B170">
            <v>7510</v>
          </cell>
          <cell r="C170" t="str">
            <v>Entertainment Account</v>
          </cell>
          <cell r="D170">
            <v>7096</v>
          </cell>
          <cell r="E170">
            <v>7096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0</v>
          </cell>
          <cell r="E172">
            <v>0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73873.5</v>
          </cell>
          <cell r="E182">
            <v>73873.5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21800</v>
          </cell>
          <cell r="E184">
            <v>21800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4083375.39</v>
          </cell>
          <cell r="E186">
            <v>4083375.39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>Expenses on Cost Recovery Traning</v>
          </cell>
          <cell r="D191">
            <v>0</v>
          </cell>
          <cell r="E191">
            <v>0</v>
          </cell>
        </row>
        <row r="192">
          <cell r="C192" t="str">
            <v>OTHER EXPENSES - SUB TOTAL</v>
          </cell>
          <cell r="D192">
            <v>11291391.17</v>
          </cell>
          <cell r="E192">
            <v>11291391.17</v>
          </cell>
        </row>
        <row r="193">
          <cell r="C193" t="str">
            <v>FINANCE COST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16759.5</v>
          </cell>
          <cell r="E196">
            <v>16759.5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</row>
        <row r="208">
          <cell r="B208">
            <v>9300</v>
          </cell>
          <cell r="C208" t="str">
            <v>Deferred Tax Expense / (Income) - Net</v>
          </cell>
          <cell r="D208">
            <v>0</v>
          </cell>
          <cell r="E208">
            <v>0</v>
          </cell>
        </row>
        <row r="209">
          <cell r="C209" t="str">
            <v>FINANCE COST - SUB TOTAL</v>
          </cell>
          <cell r="D209">
            <v>16759.5</v>
          </cell>
          <cell r="E209">
            <v>16759.5</v>
          </cell>
        </row>
      </sheetData>
      <sheetData sheetId="58" refreshError="1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0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0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0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</row>
        <row r="16">
          <cell r="C16" t="str">
            <v>SUB TOTAL OF TURNOVER</v>
          </cell>
          <cell r="D16">
            <v>0</v>
          </cell>
          <cell r="E16">
            <v>0</v>
          </cell>
        </row>
        <row r="17">
          <cell r="C17" t="str">
            <v xml:space="preserve"> INTEREST INCOME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705025.97</v>
          </cell>
          <cell r="E19">
            <v>705025.97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C21" t="str">
            <v>SUB TOTAL OF INTEREST INCOME</v>
          </cell>
          <cell r="D21">
            <v>705025.97</v>
          </cell>
          <cell r="E21">
            <v>705025.97</v>
          </cell>
        </row>
        <row r="22">
          <cell r="C22" t="str">
            <v>DIVIDEND INCOME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</row>
        <row r="24">
          <cell r="C24" t="str">
            <v>SUB TOTAL OF DIVIDEND INCOME</v>
          </cell>
          <cell r="D24">
            <v>0</v>
          </cell>
          <cell r="E24">
            <v>0</v>
          </cell>
        </row>
        <row r="25">
          <cell r="C25" t="str">
            <v xml:space="preserve"> OVERHEAD RECOVERIES</v>
          </cell>
        </row>
        <row r="26">
          <cell r="B26">
            <v>1330</v>
          </cell>
          <cell r="C26" t="str">
            <v>Overhead Recoveries Account</v>
          </cell>
          <cell r="D26">
            <v>13442734</v>
          </cell>
          <cell r="E26">
            <v>13442734</v>
          </cell>
        </row>
        <row r="27">
          <cell r="B27">
            <v>1510</v>
          </cell>
          <cell r="C27" t="str">
            <v>Recoveries on House Rent Account</v>
          </cell>
          <cell r="D27">
            <v>0</v>
          </cell>
          <cell r="E27">
            <v>0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</row>
        <row r="29">
          <cell r="B29">
            <v>1530</v>
          </cell>
          <cell r="C29" t="str">
            <v>Recoveries on Use of Motor Vehicle Account</v>
          </cell>
          <cell r="D29">
            <v>3150</v>
          </cell>
          <cell r="E29">
            <v>3150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</row>
        <row r="32">
          <cell r="C32" t="str">
            <v>SUB TOTAL OF OVERHEAD RECOVERIES</v>
          </cell>
          <cell r="D32">
            <v>13445884</v>
          </cell>
          <cell r="E32">
            <v>13445884</v>
          </cell>
        </row>
        <row r="33">
          <cell r="C33" t="str">
            <v xml:space="preserve"> PROFIT / LOSS ON DISPOSAl OF PPE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</row>
        <row r="36">
          <cell r="C36" t="str">
            <v>SUB TOTAL OF PROFIT / LOSS ON DISPOSAl OF PPE</v>
          </cell>
          <cell r="D36">
            <v>0</v>
          </cell>
          <cell r="E36">
            <v>0</v>
          </cell>
        </row>
        <row r="37">
          <cell r="C37" t="str">
            <v xml:space="preserve"> MISSELANIOUS INCOME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</row>
        <row r="39">
          <cell r="B39">
            <v>1300</v>
          </cell>
          <cell r="C39" t="str">
            <v>Miscellaneous Income Account</v>
          </cell>
          <cell r="D39">
            <v>1720567.62</v>
          </cell>
          <cell r="E39">
            <v>1720567.62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</row>
        <row r="43">
          <cell r="B43">
            <v>1320</v>
          </cell>
          <cell r="C43" t="str">
            <v>Re-usable Material Account</v>
          </cell>
          <cell r="D43">
            <v>0</v>
          </cell>
          <cell r="E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2980</v>
          </cell>
          <cell r="E45">
            <v>2980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0</v>
          </cell>
          <cell r="E46">
            <v>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C52" t="str">
            <v>SUB TOTAL OF MISSELANIOUS INCOME</v>
          </cell>
          <cell r="D52">
            <v>1723547.62</v>
          </cell>
          <cell r="E52">
            <v>1723547.62</v>
          </cell>
        </row>
        <row r="53">
          <cell r="C53" t="str">
            <v>TOTAL INCOME</v>
          </cell>
          <cell r="D53">
            <v>15874457.590000002</v>
          </cell>
          <cell r="E53">
            <v>15874457.590000002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D55">
            <v>5260991.43</v>
          </cell>
          <cell r="E55">
            <v>5260991.43</v>
          </cell>
        </row>
        <row r="56">
          <cell r="B56">
            <v>2110</v>
          </cell>
          <cell r="C56" t="str">
            <v>Management Staff Allowances Account</v>
          </cell>
          <cell r="D56">
            <v>1592467.91</v>
          </cell>
          <cell r="E56">
            <v>1592467.91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7610777.2800000003</v>
          </cell>
          <cell r="E58">
            <v>7610777.2800000003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2330415.58</v>
          </cell>
          <cell r="E60">
            <v>2330415.58</v>
          </cell>
        </row>
        <row r="61">
          <cell r="B61">
            <v>2310</v>
          </cell>
          <cell r="C61" t="str">
            <v>Other Staff Allowances Account</v>
          </cell>
          <cell r="D61">
            <v>580904.5</v>
          </cell>
          <cell r="E61">
            <v>580904.5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5740200</v>
          </cell>
          <cell r="E64">
            <v>5740200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693450</v>
          </cell>
          <cell r="E67">
            <v>693450</v>
          </cell>
        </row>
        <row r="68">
          <cell r="B68">
            <v>2334</v>
          </cell>
          <cell r="C68" t="str">
            <v>Contract Employee Cost Account</v>
          </cell>
          <cell r="D68">
            <v>1621667.22</v>
          </cell>
          <cell r="E68">
            <v>1621667.22</v>
          </cell>
        </row>
        <row r="69">
          <cell r="B69">
            <v>2340</v>
          </cell>
          <cell r="C69" t="str">
            <v>Labor Rate Variance Account</v>
          </cell>
          <cell r="D69">
            <v>-3738291.85</v>
          </cell>
          <cell r="E69">
            <v>-3738291.85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52944.3</v>
          </cell>
          <cell r="E70">
            <v>52944.3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108547.57</v>
          </cell>
          <cell r="E71">
            <v>108547.57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0</v>
          </cell>
          <cell r="E73">
            <v>0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0</v>
          </cell>
          <cell r="E76">
            <v>0</v>
          </cell>
        </row>
        <row r="77">
          <cell r="B77">
            <v>2540</v>
          </cell>
          <cell r="C77" t="str">
            <v>Allowances to Trainees Account</v>
          </cell>
          <cell r="D77">
            <v>60750</v>
          </cell>
          <cell r="E77">
            <v>60750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0</v>
          </cell>
          <cell r="E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4580</v>
          </cell>
          <cell r="E82">
            <v>4580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11620.8</v>
          </cell>
          <cell r="E84">
            <v>11620.8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0</v>
          </cell>
          <cell r="E87">
            <v>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929663.98</v>
          </cell>
          <cell r="E89">
            <v>929663.98</v>
          </cell>
        </row>
        <row r="90">
          <cell r="B90">
            <v>2641</v>
          </cell>
          <cell r="C90" t="str">
            <v>Medical Expenses  - Out door Account</v>
          </cell>
          <cell r="D90">
            <v>664791.29</v>
          </cell>
          <cell r="E90">
            <v>664791.29</v>
          </cell>
        </row>
        <row r="91">
          <cell r="B91">
            <v>2650</v>
          </cell>
          <cell r="C91" t="str">
            <v>Uniforms &amp; Protective Clothing Account</v>
          </cell>
          <cell r="D91">
            <v>26401.5</v>
          </cell>
          <cell r="E91">
            <v>26401.5</v>
          </cell>
        </row>
        <row r="92">
          <cell r="B92">
            <v>2660</v>
          </cell>
          <cell r="C92" t="str">
            <v>Reimbursement of loan Interest Account</v>
          </cell>
          <cell r="D92">
            <v>1990913.87</v>
          </cell>
          <cell r="E92">
            <v>1990913.87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0</v>
          </cell>
        </row>
        <row r="94">
          <cell r="B94">
            <v>2680</v>
          </cell>
          <cell r="C94" t="str">
            <v>CEB Pension Fund Account</v>
          </cell>
          <cell r="D94">
            <v>2574511.31</v>
          </cell>
          <cell r="E94">
            <v>2574511.31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1026908.97</v>
          </cell>
          <cell r="E96">
            <v>1026908.97</v>
          </cell>
        </row>
        <row r="97">
          <cell r="B97">
            <v>2710</v>
          </cell>
          <cell r="C97" t="str">
            <v>CEB Provident Fund Account</v>
          </cell>
          <cell r="D97">
            <v>5113690.88</v>
          </cell>
          <cell r="E97">
            <v>5113690.88</v>
          </cell>
        </row>
        <row r="98">
          <cell r="C98" t="str">
            <v>personel cost on pension fund</v>
          </cell>
          <cell r="D98">
            <v>0</v>
          </cell>
          <cell r="E98">
            <v>0</v>
          </cell>
        </row>
        <row r="99">
          <cell r="C99" t="str">
            <v>PERSONNEL EXPENSES - SUB TOTAL</v>
          </cell>
          <cell r="D99">
            <v>34257906.539999999</v>
          </cell>
          <cell r="E99">
            <v>34257906.539999999</v>
          </cell>
        </row>
        <row r="100">
          <cell r="C100" t="str">
            <v xml:space="preserve"> MATERIAL COST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0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0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65156786.799999997</v>
          </cell>
          <cell r="E114">
            <v>65156786.799999997</v>
          </cell>
        </row>
        <row r="115">
          <cell r="B115">
            <v>3212</v>
          </cell>
          <cell r="C115" t="str">
            <v>Expenses on Tug Boats and Barges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0</v>
          </cell>
        </row>
        <row r="119">
          <cell r="B119">
            <v>3300</v>
          </cell>
          <cell r="C119" t="str">
            <v>Loose Tools Account</v>
          </cell>
          <cell r="D119">
            <v>1184285</v>
          </cell>
          <cell r="E119">
            <v>1184285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0</v>
          </cell>
          <cell r="E122">
            <v>0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C125" t="str">
            <v>MATERIAL COST - SUB TOTAL</v>
          </cell>
          <cell r="D125">
            <v>66341071.799999997</v>
          </cell>
          <cell r="E125">
            <v>66341071.799999997</v>
          </cell>
        </row>
        <row r="126">
          <cell r="C126" t="str">
            <v>ACCOMMODATION EXPENSES</v>
          </cell>
        </row>
        <row r="127">
          <cell r="B127">
            <v>4100</v>
          </cell>
          <cell r="C127" t="str">
            <v>Housing Rent and Rates Account</v>
          </cell>
          <cell r="D127">
            <v>541112.5</v>
          </cell>
          <cell r="E127">
            <v>541112.5</v>
          </cell>
        </row>
        <row r="128">
          <cell r="B128">
            <v>4110</v>
          </cell>
          <cell r="C128" t="str">
            <v>Building Maintenance Account</v>
          </cell>
          <cell r="D128">
            <v>800607.6</v>
          </cell>
          <cell r="E128">
            <v>800607.6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80161.399999999994</v>
          </cell>
          <cell r="E130">
            <v>80161.399999999994</v>
          </cell>
        </row>
        <row r="131">
          <cell r="B131">
            <v>4300</v>
          </cell>
          <cell r="C131" t="str">
            <v>Electricity  Consumption Account</v>
          </cell>
          <cell r="D131">
            <v>93902.13</v>
          </cell>
          <cell r="E131">
            <v>93902.13</v>
          </cell>
        </row>
        <row r="132">
          <cell r="B132">
            <v>4400</v>
          </cell>
          <cell r="C132" t="str">
            <v>Water Supply Charges Account</v>
          </cell>
          <cell r="D132">
            <v>89805.45</v>
          </cell>
          <cell r="E132">
            <v>89805.45</v>
          </cell>
        </row>
        <row r="133">
          <cell r="C133" t="str">
            <v>ACCOMMODATION EXPENSES - SUB TOTAL</v>
          </cell>
          <cell r="D133">
            <v>1605589.0799999998</v>
          </cell>
          <cell r="E133">
            <v>1605589.0799999998</v>
          </cell>
        </row>
        <row r="134">
          <cell r="C134" t="str">
            <v>TRANSPORT &amp; COMMUNICATION EXPENSES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920939.13</v>
          </cell>
          <cell r="E135">
            <v>920939.13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2285453.13</v>
          </cell>
          <cell r="E137">
            <v>2285453.13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1036185.1</v>
          </cell>
          <cell r="E138">
            <v>1036185.1</v>
          </cell>
        </row>
        <row r="139">
          <cell r="B139">
            <v>5220</v>
          </cell>
          <cell r="C139" t="str">
            <v>Vehicle Hire Charges Account</v>
          </cell>
          <cell r="D139">
            <v>2235321.5499999998</v>
          </cell>
          <cell r="E139">
            <v>2235321.5499999998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267837.2</v>
          </cell>
          <cell r="E141">
            <v>267837.2</v>
          </cell>
        </row>
        <row r="142">
          <cell r="B142">
            <v>5310</v>
          </cell>
          <cell r="C142" t="str">
            <v>Postage Account</v>
          </cell>
          <cell r="D142">
            <v>5964</v>
          </cell>
          <cell r="E142">
            <v>5964</v>
          </cell>
        </row>
        <row r="143">
          <cell r="B143">
            <v>5320</v>
          </cell>
          <cell r="C143" t="str">
            <v>Telecommunications Account</v>
          </cell>
          <cell r="D143">
            <v>98365.05</v>
          </cell>
          <cell r="E143">
            <v>98365.05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</v>
          </cell>
          <cell r="D145">
            <v>0</v>
          </cell>
          <cell r="E145">
            <v>0</v>
          </cell>
        </row>
        <row r="146">
          <cell r="B146">
            <v>5323</v>
          </cell>
          <cell r="C146" t="str">
            <v>Expenses on Software licenses and  maintenance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D147">
            <v>0</v>
          </cell>
          <cell r="E147">
            <v>0</v>
          </cell>
        </row>
        <row r="148">
          <cell r="C148" t="str">
            <v>TRANSPORT &amp; COMMUNICATION EXP. - SUB TOTAL</v>
          </cell>
          <cell r="D148">
            <v>6850065.1599999992</v>
          </cell>
          <cell r="E148">
            <v>6850065.1599999992</v>
          </cell>
        </row>
        <row r="149">
          <cell r="C149" t="str">
            <v xml:space="preserve"> DEPRECIATION</v>
          </cell>
        </row>
        <row r="150">
          <cell r="B150">
            <v>6000</v>
          </cell>
          <cell r="C150" t="str">
            <v>Depreciation Account</v>
          </cell>
          <cell r="D150">
            <v>0</v>
          </cell>
          <cell r="E150">
            <v>0</v>
          </cell>
        </row>
        <row r="151">
          <cell r="C151" t="str">
            <v>DEPRECIATION - SUB TOTAL</v>
          </cell>
          <cell r="D151">
            <v>0</v>
          </cell>
          <cell r="E151">
            <v>0</v>
          </cell>
        </row>
        <row r="152">
          <cell r="C152" t="str">
            <v xml:space="preserve"> OTHER EXPENSES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0</v>
          </cell>
          <cell r="E154">
            <v>0</v>
          </cell>
        </row>
        <row r="155">
          <cell r="B155">
            <v>7211</v>
          </cell>
          <cell r="C155" t="str">
            <v>Payment to Manpower Agencies Account</v>
          </cell>
          <cell r="D155">
            <v>6485632.8799999999</v>
          </cell>
          <cell r="E155">
            <v>6485632.8799999999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18216</v>
          </cell>
          <cell r="E168">
            <v>18216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</row>
        <row r="170">
          <cell r="B170">
            <v>7510</v>
          </cell>
          <cell r="C170" t="str">
            <v>Entertainment Account</v>
          </cell>
          <cell r="D170">
            <v>15475</v>
          </cell>
          <cell r="E170">
            <v>15475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1251520</v>
          </cell>
          <cell r="E172">
            <v>1251520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5400</v>
          </cell>
          <cell r="E182">
            <v>5400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187851.46</v>
          </cell>
          <cell r="E184">
            <v>187851.46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19094257</v>
          </cell>
          <cell r="E186">
            <v>19094257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>Expenses on Cost Recovery Traning</v>
          </cell>
          <cell r="D191">
            <v>0</v>
          </cell>
          <cell r="E191">
            <v>0</v>
          </cell>
        </row>
        <row r="192">
          <cell r="C192" t="str">
            <v>OTHER EXPENSES - SUB TOTAL</v>
          </cell>
          <cell r="D192">
            <v>27058352.34</v>
          </cell>
          <cell r="E192">
            <v>27058352.34</v>
          </cell>
        </row>
        <row r="193">
          <cell r="C193" t="str">
            <v>FINANCE COST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0</v>
          </cell>
          <cell r="E196">
            <v>0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</row>
        <row r="208">
          <cell r="B208">
            <v>9300</v>
          </cell>
          <cell r="C208" t="str">
            <v>Deferred Tax Expense / (Income) - Net</v>
          </cell>
          <cell r="D208">
            <v>0</v>
          </cell>
          <cell r="E208">
            <v>0</v>
          </cell>
        </row>
        <row r="209">
          <cell r="C209" t="str">
            <v>FINANCE COST - SUB TOTAL</v>
          </cell>
          <cell r="D209">
            <v>0</v>
          </cell>
          <cell r="E209">
            <v>0</v>
          </cell>
        </row>
      </sheetData>
      <sheetData sheetId="59" refreshError="1"/>
      <sheetData sheetId="60" refreshError="1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450000000</v>
          </cell>
          <cell r="E11">
            <v>450000000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550000000</v>
          </cell>
          <cell r="E13">
            <v>550000000</v>
          </cell>
        </row>
        <row r="14">
          <cell r="B14">
            <v>1125</v>
          </cell>
          <cell r="C14" t="str">
            <v>Fixed charges on Electricity Bills</v>
          </cell>
          <cell r="D14">
            <v>93550000</v>
          </cell>
          <cell r="E14">
            <v>93550000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</row>
        <row r="16">
          <cell r="C16" t="str">
            <v>SUB TOTAL OF TURNOVER</v>
          </cell>
          <cell r="D16">
            <v>1093550000</v>
          </cell>
          <cell r="E16">
            <v>1093550000</v>
          </cell>
        </row>
        <row r="17">
          <cell r="C17" t="str">
            <v xml:space="preserve"> INTEREST INCOME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0</v>
          </cell>
          <cell r="E19">
            <v>0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C21" t="str">
            <v>SUB TOTAL OF INTEREST INCOME</v>
          </cell>
          <cell r="D21">
            <v>0</v>
          </cell>
          <cell r="E21">
            <v>0</v>
          </cell>
        </row>
        <row r="22">
          <cell r="C22" t="str">
            <v>DIVIDEND INCOME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</row>
        <row r="24">
          <cell r="C24" t="str">
            <v>SUB TOTAL OF DIVIDEND INCOME</v>
          </cell>
          <cell r="D24">
            <v>0</v>
          </cell>
          <cell r="E24">
            <v>0</v>
          </cell>
        </row>
        <row r="25">
          <cell r="C25" t="str">
            <v xml:space="preserve"> OVERHEAD RECOVERIES</v>
          </cell>
        </row>
        <row r="26">
          <cell r="B26">
            <v>1330</v>
          </cell>
          <cell r="C26" t="str">
            <v>Overhead Recoveries Account</v>
          </cell>
          <cell r="D26">
            <v>0</v>
          </cell>
          <cell r="E26">
            <v>0</v>
          </cell>
        </row>
        <row r="27">
          <cell r="B27">
            <v>1510</v>
          </cell>
          <cell r="C27" t="str">
            <v>Recoveries on House Rent Account</v>
          </cell>
          <cell r="D27">
            <v>0</v>
          </cell>
          <cell r="E27">
            <v>0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</row>
        <row r="32">
          <cell r="C32" t="str">
            <v>SUB TOTAL OF OVERHEAD RECOVERIES</v>
          </cell>
          <cell r="D32">
            <v>0</v>
          </cell>
          <cell r="E32">
            <v>0</v>
          </cell>
        </row>
        <row r="33">
          <cell r="C33" t="str">
            <v xml:space="preserve"> PROFIT / LOSS ON DISPOSAl OF PPE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</row>
        <row r="36">
          <cell r="C36" t="str">
            <v>SUB TOTAL OF PROFIT / LOSS ON DISPOSAl OF PPE</v>
          </cell>
          <cell r="D36">
            <v>0</v>
          </cell>
          <cell r="E36">
            <v>0</v>
          </cell>
        </row>
        <row r="37">
          <cell r="C37" t="str">
            <v xml:space="preserve"> MISSELANIOUS INCOME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</row>
        <row r="39">
          <cell r="B39">
            <v>1300</v>
          </cell>
          <cell r="C39" t="str">
            <v>Miscellaneous Income Account</v>
          </cell>
          <cell r="D39">
            <v>0</v>
          </cell>
          <cell r="E39">
            <v>0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</row>
        <row r="43">
          <cell r="B43">
            <v>1320</v>
          </cell>
          <cell r="C43" t="str">
            <v>Re-usable Material Account</v>
          </cell>
          <cell r="D43">
            <v>0</v>
          </cell>
          <cell r="E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0</v>
          </cell>
          <cell r="E45">
            <v>0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0</v>
          </cell>
          <cell r="E46">
            <v>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C52" t="str">
            <v>SUB TOTAL OF MISSELANIOUS INCOME</v>
          </cell>
          <cell r="D52">
            <v>0</v>
          </cell>
          <cell r="E52">
            <v>0</v>
          </cell>
        </row>
        <row r="53">
          <cell r="C53" t="str">
            <v>TOTAL INCOME</v>
          </cell>
          <cell r="D53">
            <v>1093550000</v>
          </cell>
          <cell r="E53">
            <v>1093550000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D55">
            <v>0</v>
          </cell>
          <cell r="E55">
            <v>0</v>
          </cell>
        </row>
        <row r="56">
          <cell r="B56">
            <v>2110</v>
          </cell>
          <cell r="C56" t="str">
            <v>Management Staff Allowances Account</v>
          </cell>
          <cell r="D56">
            <v>0</v>
          </cell>
          <cell r="E56">
            <v>0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0</v>
          </cell>
          <cell r="E58">
            <v>0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0</v>
          </cell>
          <cell r="E60">
            <v>0</v>
          </cell>
        </row>
        <row r="61">
          <cell r="B61">
            <v>2310</v>
          </cell>
          <cell r="C61" t="str">
            <v>Other Staff Allowances Account</v>
          </cell>
          <cell r="D61">
            <v>0</v>
          </cell>
          <cell r="E61">
            <v>0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0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0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0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0</v>
          </cell>
          <cell r="E70">
            <v>0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0</v>
          </cell>
          <cell r="E71">
            <v>0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0</v>
          </cell>
          <cell r="E73">
            <v>0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0</v>
          </cell>
          <cell r="E76">
            <v>0</v>
          </cell>
        </row>
        <row r="77">
          <cell r="B77">
            <v>2540</v>
          </cell>
          <cell r="C77" t="str">
            <v>Allowances to Trainees Account</v>
          </cell>
          <cell r="D77">
            <v>0</v>
          </cell>
          <cell r="E77">
            <v>0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0</v>
          </cell>
          <cell r="E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0</v>
          </cell>
          <cell r="E82">
            <v>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0</v>
          </cell>
          <cell r="E84">
            <v>0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0</v>
          </cell>
          <cell r="E87">
            <v>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0</v>
          </cell>
          <cell r="E89">
            <v>0</v>
          </cell>
        </row>
        <row r="90">
          <cell r="B90">
            <v>2641</v>
          </cell>
          <cell r="C90" t="str">
            <v>Medical Expenses  - Out door Account</v>
          </cell>
          <cell r="D90">
            <v>0</v>
          </cell>
          <cell r="E90">
            <v>0</v>
          </cell>
        </row>
        <row r="91">
          <cell r="B91">
            <v>2650</v>
          </cell>
          <cell r="C91" t="str">
            <v>Uniforms &amp; Protective Clothing Account</v>
          </cell>
          <cell r="D91">
            <v>0</v>
          </cell>
          <cell r="E91">
            <v>0</v>
          </cell>
        </row>
        <row r="92">
          <cell r="B92">
            <v>2660</v>
          </cell>
          <cell r="C92" t="str">
            <v>Reimbursement of loan Interest Account</v>
          </cell>
          <cell r="D92">
            <v>0</v>
          </cell>
          <cell r="E92">
            <v>0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0</v>
          </cell>
        </row>
        <row r="94">
          <cell r="B94">
            <v>2680</v>
          </cell>
          <cell r="C94" t="str">
            <v>CEB Pension Fund Account</v>
          </cell>
          <cell r="D94">
            <v>0</v>
          </cell>
          <cell r="E94">
            <v>0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0</v>
          </cell>
          <cell r="E96">
            <v>0</v>
          </cell>
        </row>
        <row r="97">
          <cell r="B97">
            <v>2710</v>
          </cell>
          <cell r="C97" t="str">
            <v>CEB Provident Fund Account</v>
          </cell>
          <cell r="D97">
            <v>0</v>
          </cell>
          <cell r="E97">
            <v>0</v>
          </cell>
        </row>
        <row r="98">
          <cell r="C98" t="str">
            <v>personel cost on pension fund</v>
          </cell>
          <cell r="D98">
            <v>0</v>
          </cell>
          <cell r="E98">
            <v>0</v>
          </cell>
        </row>
        <row r="99">
          <cell r="C99" t="str">
            <v>PERSONNEL EXPENSES - SUB TOTAL</v>
          </cell>
          <cell r="D99">
            <v>0</v>
          </cell>
          <cell r="E99">
            <v>0</v>
          </cell>
        </row>
        <row r="100">
          <cell r="C100" t="str">
            <v xml:space="preserve"> MATERIAL COST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0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0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</row>
        <row r="115">
          <cell r="B115">
            <v>3212</v>
          </cell>
          <cell r="C115" t="str">
            <v>Expenses on Tug Boats and Barges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0</v>
          </cell>
        </row>
        <row r="119">
          <cell r="B119">
            <v>3300</v>
          </cell>
          <cell r="C119" t="str">
            <v>Loose Tools Account</v>
          </cell>
          <cell r="D119">
            <v>0</v>
          </cell>
          <cell r="E119">
            <v>0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0</v>
          </cell>
          <cell r="E122">
            <v>0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C125" t="str">
            <v>MATERIAL COST - SUB TOTAL</v>
          </cell>
          <cell r="D125">
            <v>0</v>
          </cell>
          <cell r="E125">
            <v>0</v>
          </cell>
        </row>
        <row r="126">
          <cell r="C126" t="str">
            <v>ACCOMMODATION EXPENSES</v>
          </cell>
        </row>
        <row r="127">
          <cell r="B127">
            <v>4100</v>
          </cell>
          <cell r="C127" t="str">
            <v>Housing Rent and Rates Account</v>
          </cell>
          <cell r="D127">
            <v>0</v>
          </cell>
          <cell r="E127">
            <v>0</v>
          </cell>
        </row>
        <row r="128">
          <cell r="B128">
            <v>4110</v>
          </cell>
          <cell r="C128" t="str">
            <v>Building Maintenance Account</v>
          </cell>
          <cell r="D128">
            <v>0</v>
          </cell>
          <cell r="E128">
            <v>0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0</v>
          </cell>
          <cell r="E130">
            <v>0</v>
          </cell>
        </row>
        <row r="131">
          <cell r="B131">
            <v>4300</v>
          </cell>
          <cell r="C131" t="str">
            <v>Electricity  Consumption Account</v>
          </cell>
          <cell r="D131">
            <v>0</v>
          </cell>
          <cell r="E131">
            <v>0</v>
          </cell>
        </row>
        <row r="132">
          <cell r="B132">
            <v>4400</v>
          </cell>
          <cell r="C132" t="str">
            <v>Water Supply Charges Account</v>
          </cell>
          <cell r="D132">
            <v>0</v>
          </cell>
          <cell r="E132">
            <v>0</v>
          </cell>
        </row>
        <row r="133">
          <cell r="C133" t="str">
            <v>ACCOMMODATION EXPENSES - SUB TOTAL</v>
          </cell>
          <cell r="D133">
            <v>0</v>
          </cell>
          <cell r="E133">
            <v>0</v>
          </cell>
        </row>
        <row r="134">
          <cell r="C134" t="str">
            <v>TRANSPORT &amp; COMMUNICATION EXPENSES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0</v>
          </cell>
          <cell r="E135">
            <v>0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0</v>
          </cell>
          <cell r="E137">
            <v>0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0</v>
          </cell>
          <cell r="E138">
            <v>0</v>
          </cell>
        </row>
        <row r="139">
          <cell r="B139">
            <v>5220</v>
          </cell>
          <cell r="C139" t="str">
            <v>Vehicle Hire Charges Account</v>
          </cell>
          <cell r="D139">
            <v>0</v>
          </cell>
          <cell r="E139">
            <v>0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0</v>
          </cell>
          <cell r="E141">
            <v>0</v>
          </cell>
        </row>
        <row r="142">
          <cell r="B142">
            <v>5310</v>
          </cell>
          <cell r="C142" t="str">
            <v>Postage Account</v>
          </cell>
          <cell r="D142">
            <v>0</v>
          </cell>
          <cell r="E142">
            <v>0</v>
          </cell>
        </row>
        <row r="143">
          <cell r="B143">
            <v>5320</v>
          </cell>
          <cell r="C143" t="str">
            <v>Telecommunications Account</v>
          </cell>
          <cell r="D143">
            <v>0</v>
          </cell>
          <cell r="E143">
            <v>0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</v>
          </cell>
          <cell r="D145">
            <v>0</v>
          </cell>
          <cell r="E145">
            <v>0</v>
          </cell>
        </row>
        <row r="146">
          <cell r="B146">
            <v>5323</v>
          </cell>
          <cell r="C146" t="str">
            <v>Expenses on Software licenses and  maintenance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D147">
            <v>0</v>
          </cell>
          <cell r="E147">
            <v>0</v>
          </cell>
        </row>
        <row r="148">
          <cell r="C148" t="str">
            <v>TRANSPORT &amp; COMMUNICATION EXP. - SUB TOTAL</v>
          </cell>
          <cell r="D148">
            <v>0</v>
          </cell>
          <cell r="E148">
            <v>0</v>
          </cell>
        </row>
        <row r="149">
          <cell r="C149" t="str">
            <v xml:space="preserve"> DEPRECIATION</v>
          </cell>
        </row>
        <row r="150">
          <cell r="B150">
            <v>6000</v>
          </cell>
          <cell r="C150" t="str">
            <v>Depreciation Account</v>
          </cell>
          <cell r="D150">
            <v>0</v>
          </cell>
          <cell r="E150">
            <v>0</v>
          </cell>
        </row>
        <row r="151">
          <cell r="C151" t="str">
            <v>DEPRECIATION - SUB TOTAL</v>
          </cell>
          <cell r="D151">
            <v>0</v>
          </cell>
          <cell r="E151">
            <v>0</v>
          </cell>
        </row>
        <row r="152">
          <cell r="C152" t="str">
            <v xml:space="preserve"> OTHER EXPENSES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0</v>
          </cell>
          <cell r="E154">
            <v>0</v>
          </cell>
        </row>
        <row r="155">
          <cell r="B155">
            <v>7211</v>
          </cell>
          <cell r="C155" t="str">
            <v>Payment to Manpower Agencies Account</v>
          </cell>
          <cell r="D155">
            <v>0</v>
          </cell>
          <cell r="E155">
            <v>0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0</v>
          </cell>
          <cell r="E168">
            <v>0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</row>
        <row r="170">
          <cell r="B170">
            <v>7510</v>
          </cell>
          <cell r="C170" t="str">
            <v>Entertainment Account</v>
          </cell>
          <cell r="D170">
            <v>0</v>
          </cell>
          <cell r="E170">
            <v>0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0</v>
          </cell>
          <cell r="E172">
            <v>0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0</v>
          </cell>
          <cell r="E182">
            <v>0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0</v>
          </cell>
          <cell r="E184">
            <v>0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>Expenses on Cost Recovery Traning</v>
          </cell>
          <cell r="D191">
            <v>0</v>
          </cell>
          <cell r="E191">
            <v>0</v>
          </cell>
        </row>
        <row r="192">
          <cell r="C192" t="str">
            <v>OTHER EXPENSES - SUB TOTAL</v>
          </cell>
          <cell r="D192">
            <v>0</v>
          </cell>
          <cell r="E192">
            <v>0</v>
          </cell>
        </row>
        <row r="193">
          <cell r="C193" t="str">
            <v>FINANCE COST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0</v>
          </cell>
          <cell r="E196">
            <v>0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</row>
        <row r="208">
          <cell r="B208">
            <v>9300</v>
          </cell>
          <cell r="C208" t="str">
            <v>Deferred Tax Expense / (Income) - Net</v>
          </cell>
          <cell r="D208">
            <v>0</v>
          </cell>
          <cell r="E208">
            <v>0</v>
          </cell>
        </row>
        <row r="209">
          <cell r="C209" t="str">
            <v>FINANCE COST - SUB TOTAL</v>
          </cell>
          <cell r="D209">
            <v>0</v>
          </cell>
          <cell r="E209">
            <v>0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 01"/>
      <sheetName val="Annex 02 (TB)"/>
      <sheetName val="Annex 03(CS)"/>
      <sheetName val="Annex 04"/>
      <sheetName val="Annex 05"/>
      <sheetName val="Annex 06"/>
      <sheetName val="Annex 07"/>
      <sheetName val="Annex 08"/>
      <sheetName val="Annex 09.1(a)"/>
      <sheetName val="Annex 09.1(b)"/>
      <sheetName val="Annex 09.2"/>
      <sheetName val="Annex 09.3 a"/>
      <sheetName val="Annex 09.3"/>
      <sheetName val="10.1"/>
      <sheetName val="10.2"/>
      <sheetName val="10.3"/>
      <sheetName val="10.4"/>
      <sheetName val="11.1 "/>
      <sheetName val="10.5"/>
      <sheetName val="11.2 "/>
      <sheetName val="11.3"/>
      <sheetName val="LTL REC"/>
      <sheetName val="12"/>
      <sheetName val="13"/>
      <sheetName val="14"/>
      <sheetName val="15"/>
      <sheetName val="16"/>
      <sheetName val="17"/>
      <sheetName val="18"/>
      <sheetName val="INDEX"/>
      <sheetName val="Deference"/>
      <sheetName val="P&amp;L Presentation Format"/>
      <sheetName val="P&amp;L"/>
      <sheetName val="B.S "/>
      <sheetName val="CF Print"/>
      <sheetName val="P&amp;L Notes"/>
      <sheetName val="PPEnew"/>
      <sheetName val="B.S Notes"/>
      <sheetName val="Sheet3"/>
      <sheetName val="CURRENT ACCOUNT"/>
      <sheetName val="Cu AC "/>
      <sheetName val="TB"/>
      <sheetName val=" TB  520"/>
      <sheetName val=" TB 520.11"/>
      <sheetName val=" TB 520.20"/>
      <sheetName val=" TB 520.30"/>
      <sheetName val=" TB 520.70"/>
      <sheetName val=" TB 521"/>
      <sheetName val=" TB 522"/>
      <sheetName val=" TB 523"/>
      <sheetName val=" TB 524"/>
      <sheetName val=" TB 525 "/>
      <sheetName val=" TB 526"/>
      <sheetName val=" TB 527"/>
      <sheetName val="CS"/>
      <sheetName val=" CS 520 "/>
      <sheetName val=" CS 520.11"/>
      <sheetName val=" CS 520.20"/>
      <sheetName val=" CS 520.30"/>
      <sheetName val="WIP SUM"/>
      <sheetName val=" CS 520.70"/>
      <sheetName val=" CS 521"/>
      <sheetName val=" CS 522"/>
      <sheetName val=" CS 523"/>
      <sheetName val="CS 524"/>
      <sheetName val=" CS 525"/>
      <sheetName val=" CS 526"/>
      <sheetName val=" CS 527"/>
      <sheetName val="WIP AGE"/>
      <sheetName val="AGE DR "/>
      <sheetName val="AGE CR "/>
      <sheetName val="DR CSW"/>
      <sheetName val="DR AGE 2"/>
      <sheetName val="CR CSW"/>
      <sheetName val="CR AGE 2"/>
      <sheetName val="STOCK REPORT"/>
      <sheetName val="STK ADJ"/>
      <sheetName val="CS (B Vs A)"/>
      <sheetName val="Aproved  2014"/>
      <sheetName val=" TB 521 (2)"/>
      <sheetName val="Cost Sheet (B Vs. A)"/>
      <sheetName val="DR AGE"/>
      <sheetName val="CR AGE"/>
      <sheetName val="Budget"/>
      <sheetName val="WIP"/>
      <sheetName val="WIPAGE"/>
      <sheetName val="WIP REC"/>
      <sheetName val="WIP REC(Sum)"/>
      <sheetName val="TBSP"/>
      <sheetName val="A3800"/>
      <sheetName val="L9200L5610"/>
      <sheetName val="wip addition"/>
      <sheetName val="Transfer Out"/>
      <sheetName val="Sam"/>
      <sheetName val="Char"/>
      <sheetName val="Sheet1"/>
      <sheetName val="Sheet2"/>
      <sheetName val="Compatibility Report"/>
      <sheetName val="Stock Data"/>
      <sheetName val="Energy Cost"/>
      <sheetName val="SMD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9">
          <cell r="B9">
            <v>1100</v>
          </cell>
        </row>
      </sheetData>
      <sheetData sheetId="56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0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0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0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</row>
        <row r="16">
          <cell r="C16" t="str">
            <v>SUB TOTAL OF TURNOVER</v>
          </cell>
          <cell r="D16">
            <v>0</v>
          </cell>
          <cell r="E16">
            <v>0</v>
          </cell>
        </row>
        <row r="17">
          <cell r="C17" t="str">
            <v xml:space="preserve"> INTEREST INCOME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0</v>
          </cell>
          <cell r="E19">
            <v>0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C21" t="str">
            <v>SUB TOTAL OF INTEREST INCOME</v>
          </cell>
          <cell r="D21">
            <v>0</v>
          </cell>
          <cell r="E21">
            <v>0</v>
          </cell>
        </row>
        <row r="22">
          <cell r="C22" t="str">
            <v>DIVIDEND INCOME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</row>
        <row r="24">
          <cell r="C24" t="str">
            <v>SUB TOTAL OF DIVIDEND INCOME</v>
          </cell>
          <cell r="D24">
            <v>0</v>
          </cell>
          <cell r="E24">
            <v>0</v>
          </cell>
        </row>
        <row r="25">
          <cell r="C25" t="str">
            <v xml:space="preserve"> OVERHEAD RECOVERIES</v>
          </cell>
        </row>
        <row r="26">
          <cell r="B26">
            <v>1330</v>
          </cell>
          <cell r="C26" t="str">
            <v>Overhead Recoveries Account</v>
          </cell>
          <cell r="D26">
            <v>0</v>
          </cell>
          <cell r="E26">
            <v>0</v>
          </cell>
        </row>
        <row r="27">
          <cell r="B27">
            <v>1510</v>
          </cell>
          <cell r="C27" t="str">
            <v>Recoveries on House Rent Account</v>
          </cell>
          <cell r="D27">
            <v>0</v>
          </cell>
          <cell r="E27">
            <v>0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</row>
        <row r="32">
          <cell r="C32" t="str">
            <v>SUB TOTAL OF OVERHEAD RECOVERIES</v>
          </cell>
          <cell r="D32">
            <v>0</v>
          </cell>
          <cell r="E32">
            <v>0</v>
          </cell>
        </row>
        <row r="33">
          <cell r="C33" t="str">
            <v xml:space="preserve"> PROFIT / LOSS ON DISPOSAl OF PPE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</row>
        <row r="36">
          <cell r="C36" t="str">
            <v>SUB TOTAL OF PROFIT / LOSS ON DISPOSAl OF PPE</v>
          </cell>
          <cell r="D36">
            <v>0</v>
          </cell>
          <cell r="E36">
            <v>0</v>
          </cell>
        </row>
        <row r="37">
          <cell r="C37" t="str">
            <v xml:space="preserve"> MISSELANIOUS INCOME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</row>
        <row r="39">
          <cell r="B39">
            <v>1300</v>
          </cell>
          <cell r="C39" t="str">
            <v>Miscellaneous Income Account</v>
          </cell>
          <cell r="D39">
            <v>1479578</v>
          </cell>
          <cell r="E39">
            <v>1479578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8115968.5199999996</v>
          </cell>
          <cell r="E42">
            <v>8115968.5199999996</v>
          </cell>
        </row>
        <row r="43">
          <cell r="B43">
            <v>1320</v>
          </cell>
          <cell r="C43" t="str">
            <v>Re-usable Material Account</v>
          </cell>
          <cell r="D43">
            <v>0</v>
          </cell>
          <cell r="E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166030285.78999999</v>
          </cell>
          <cell r="E45">
            <v>166030285.78999999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0</v>
          </cell>
          <cell r="E46">
            <v>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C52" t="str">
            <v>SUB TOTAL OF MISSELANIOUS INCOME</v>
          </cell>
          <cell r="D52">
            <v>175625832.31</v>
          </cell>
          <cell r="E52">
            <v>175625832.31</v>
          </cell>
        </row>
        <row r="53">
          <cell r="C53" t="str">
            <v>TOTAL INCOME</v>
          </cell>
          <cell r="D53">
            <v>175625832.31</v>
          </cell>
          <cell r="E53">
            <v>175625832.31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D55">
            <v>0</v>
          </cell>
          <cell r="E55">
            <v>0</v>
          </cell>
        </row>
        <row r="56">
          <cell r="B56">
            <v>2110</v>
          </cell>
          <cell r="C56" t="str">
            <v>Management Staff Allowances Account</v>
          </cell>
          <cell r="D56">
            <v>0</v>
          </cell>
          <cell r="E56">
            <v>0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0</v>
          </cell>
          <cell r="E58">
            <v>0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0</v>
          </cell>
          <cell r="E60">
            <v>0</v>
          </cell>
        </row>
        <row r="61">
          <cell r="B61">
            <v>2310</v>
          </cell>
          <cell r="C61" t="str">
            <v>Other Staff Allowances Account</v>
          </cell>
          <cell r="D61">
            <v>0</v>
          </cell>
          <cell r="E61">
            <v>0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0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0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0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0</v>
          </cell>
          <cell r="E70">
            <v>0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0</v>
          </cell>
          <cell r="E71">
            <v>0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0</v>
          </cell>
          <cell r="E73">
            <v>0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0</v>
          </cell>
          <cell r="E76">
            <v>0</v>
          </cell>
        </row>
        <row r="77">
          <cell r="B77">
            <v>2540</v>
          </cell>
          <cell r="C77" t="str">
            <v>Allowances to Trainees Account</v>
          </cell>
          <cell r="D77">
            <v>0</v>
          </cell>
          <cell r="E77">
            <v>0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0</v>
          </cell>
          <cell r="E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0</v>
          </cell>
          <cell r="E82">
            <v>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0</v>
          </cell>
          <cell r="E84">
            <v>0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0</v>
          </cell>
          <cell r="E87">
            <v>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0</v>
          </cell>
          <cell r="E89">
            <v>0</v>
          </cell>
        </row>
        <row r="90">
          <cell r="B90">
            <v>2641</v>
          </cell>
          <cell r="C90" t="str">
            <v>Medical Expenses  - Out door Account</v>
          </cell>
          <cell r="D90">
            <v>0</v>
          </cell>
          <cell r="E90">
            <v>0</v>
          </cell>
        </row>
        <row r="91">
          <cell r="B91">
            <v>2650</v>
          </cell>
          <cell r="C91" t="str">
            <v>Uniforms &amp; Protective Clothing Account</v>
          </cell>
          <cell r="D91">
            <v>0</v>
          </cell>
          <cell r="E91">
            <v>0</v>
          </cell>
        </row>
        <row r="92">
          <cell r="B92">
            <v>2660</v>
          </cell>
          <cell r="C92" t="str">
            <v>Reimbursement of loan Interest Account</v>
          </cell>
          <cell r="D92">
            <v>0</v>
          </cell>
          <cell r="E92">
            <v>0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0</v>
          </cell>
        </row>
        <row r="94">
          <cell r="B94">
            <v>2680</v>
          </cell>
          <cell r="C94" t="str">
            <v>CEB Pension Fund Account</v>
          </cell>
          <cell r="D94">
            <v>0</v>
          </cell>
          <cell r="E94">
            <v>0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0</v>
          </cell>
          <cell r="E96">
            <v>0</v>
          </cell>
        </row>
        <row r="97">
          <cell r="B97">
            <v>2710</v>
          </cell>
          <cell r="C97" t="str">
            <v>CEB Provident Fund Account</v>
          </cell>
          <cell r="D97">
            <v>0</v>
          </cell>
          <cell r="E97">
            <v>0</v>
          </cell>
        </row>
        <row r="98">
          <cell r="C98" t="str">
            <v>personel cost on pension fund</v>
          </cell>
          <cell r="D98">
            <v>0</v>
          </cell>
          <cell r="E98">
            <v>0</v>
          </cell>
        </row>
        <row r="99">
          <cell r="C99" t="str">
            <v>PERSONNEL EXPENSES - SUB TOTAL</v>
          </cell>
          <cell r="D99">
            <v>0</v>
          </cell>
          <cell r="E99">
            <v>0</v>
          </cell>
        </row>
        <row r="100">
          <cell r="C100" t="str">
            <v xml:space="preserve"> MATERIAL COST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0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0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</row>
        <row r="115">
          <cell r="B115">
            <v>3212</v>
          </cell>
          <cell r="C115" t="str">
            <v>Expenses on Tug Boats and Barges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0</v>
          </cell>
        </row>
        <row r="119">
          <cell r="B119">
            <v>3300</v>
          </cell>
          <cell r="C119" t="str">
            <v>Loose Tools Account</v>
          </cell>
          <cell r="D119">
            <v>0</v>
          </cell>
          <cell r="E119">
            <v>0</v>
          </cell>
        </row>
        <row r="120">
          <cell r="B120">
            <v>3410</v>
          </cell>
          <cell r="C120" t="str">
            <v>Stores Discrepancies Account</v>
          </cell>
          <cell r="D120">
            <v>-1631124.3</v>
          </cell>
          <cell r="E120">
            <v>-1631124.3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71593530.400000006</v>
          </cell>
          <cell r="E122">
            <v>71593530.400000006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-1678454.03</v>
          </cell>
          <cell r="E123">
            <v>-1678454.03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C125" t="str">
            <v>MATERIAL COST - SUB TOTAL</v>
          </cell>
          <cell r="D125">
            <v>68283952.070000008</v>
          </cell>
          <cell r="E125">
            <v>68283952.070000008</v>
          </cell>
        </row>
        <row r="126">
          <cell r="C126" t="str">
            <v>ACCOMMODATION EXPENSES</v>
          </cell>
        </row>
        <row r="127">
          <cell r="B127">
            <v>4100</v>
          </cell>
          <cell r="C127" t="str">
            <v>Housing Rent and Rates Account</v>
          </cell>
          <cell r="D127">
            <v>0</v>
          </cell>
          <cell r="E127">
            <v>0</v>
          </cell>
        </row>
        <row r="128">
          <cell r="B128">
            <v>4110</v>
          </cell>
          <cell r="C128" t="str">
            <v>Building Maintenance Account</v>
          </cell>
          <cell r="D128">
            <v>0</v>
          </cell>
          <cell r="E128">
            <v>0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0</v>
          </cell>
          <cell r="E130">
            <v>0</v>
          </cell>
        </row>
        <row r="131">
          <cell r="B131">
            <v>4300</v>
          </cell>
          <cell r="C131" t="str">
            <v>Electricity  Consumption Account</v>
          </cell>
          <cell r="D131">
            <v>0</v>
          </cell>
          <cell r="E131">
            <v>0</v>
          </cell>
        </row>
        <row r="132">
          <cell r="B132">
            <v>4400</v>
          </cell>
          <cell r="C132" t="str">
            <v>Water Supply Charges Account</v>
          </cell>
          <cell r="D132">
            <v>0</v>
          </cell>
          <cell r="E132">
            <v>0</v>
          </cell>
        </row>
        <row r="133">
          <cell r="C133" t="str">
            <v>ACCOMMODATION EXPENSES - SUB TOTAL</v>
          </cell>
          <cell r="D133">
            <v>0</v>
          </cell>
          <cell r="E133">
            <v>0</v>
          </cell>
        </row>
        <row r="134">
          <cell r="C134" t="str">
            <v>TRANSPORT &amp; COMMUNICATION EXPENSES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0</v>
          </cell>
          <cell r="E135">
            <v>0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0</v>
          </cell>
          <cell r="E137">
            <v>0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0</v>
          </cell>
          <cell r="E138">
            <v>0</v>
          </cell>
        </row>
        <row r="139">
          <cell r="B139">
            <v>5220</v>
          </cell>
          <cell r="C139" t="str">
            <v>Vehicle Hire Charges Account</v>
          </cell>
          <cell r="D139">
            <v>0</v>
          </cell>
          <cell r="E139">
            <v>0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0</v>
          </cell>
          <cell r="E141">
            <v>0</v>
          </cell>
        </row>
        <row r="142">
          <cell r="B142">
            <v>5310</v>
          </cell>
          <cell r="C142" t="str">
            <v>Postage Account</v>
          </cell>
          <cell r="D142">
            <v>0</v>
          </cell>
          <cell r="E142">
            <v>0</v>
          </cell>
        </row>
        <row r="143">
          <cell r="B143">
            <v>5320</v>
          </cell>
          <cell r="C143" t="str">
            <v>Telecommunications Account</v>
          </cell>
          <cell r="D143">
            <v>0</v>
          </cell>
          <cell r="E143">
            <v>0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</v>
          </cell>
          <cell r="D145">
            <v>0</v>
          </cell>
          <cell r="E145">
            <v>0</v>
          </cell>
        </row>
        <row r="146">
          <cell r="B146">
            <v>5323</v>
          </cell>
          <cell r="C146" t="str">
            <v>Expenses on Software licenses and  maintenance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D147">
            <v>0</v>
          </cell>
          <cell r="E147">
            <v>0</v>
          </cell>
        </row>
        <row r="148">
          <cell r="C148" t="str">
            <v>TRANSPORT &amp; COMMUNICATION EXP. - SUB TOTAL</v>
          </cell>
          <cell r="D148">
            <v>0</v>
          </cell>
          <cell r="E148">
            <v>0</v>
          </cell>
        </row>
        <row r="149">
          <cell r="C149" t="str">
            <v xml:space="preserve"> DEPRECIATION</v>
          </cell>
        </row>
        <row r="150">
          <cell r="B150">
            <v>6000</v>
          </cell>
          <cell r="C150" t="str">
            <v>Depreciation Account</v>
          </cell>
          <cell r="D150">
            <v>0</v>
          </cell>
          <cell r="E150">
            <v>0</v>
          </cell>
        </row>
        <row r="151">
          <cell r="C151" t="str">
            <v>DEPRECIATION - SUB TOTAL</v>
          </cell>
          <cell r="D151">
            <v>0</v>
          </cell>
          <cell r="E151">
            <v>0</v>
          </cell>
        </row>
        <row r="152">
          <cell r="C152" t="str">
            <v xml:space="preserve"> OTHER EXPENSES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0</v>
          </cell>
          <cell r="E154">
            <v>0</v>
          </cell>
        </row>
        <row r="155">
          <cell r="B155">
            <v>7211</v>
          </cell>
          <cell r="C155" t="str">
            <v>Payment to Manpower Agencies Account</v>
          </cell>
          <cell r="D155">
            <v>0</v>
          </cell>
          <cell r="E155">
            <v>0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0</v>
          </cell>
          <cell r="E168">
            <v>0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</row>
        <row r="170">
          <cell r="B170">
            <v>7510</v>
          </cell>
          <cell r="C170" t="str">
            <v>Entertainment Account</v>
          </cell>
          <cell r="D170">
            <v>0</v>
          </cell>
          <cell r="E170">
            <v>0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0</v>
          </cell>
          <cell r="E172">
            <v>0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107341880.23999999</v>
          </cell>
          <cell r="E179">
            <v>107341880.23999999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0</v>
          </cell>
          <cell r="E182">
            <v>0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0</v>
          </cell>
          <cell r="E184">
            <v>0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>Expenses on Cost Recovery Traning</v>
          </cell>
          <cell r="D191">
            <v>0</v>
          </cell>
          <cell r="E191">
            <v>0</v>
          </cell>
        </row>
        <row r="192">
          <cell r="C192" t="str">
            <v>OTHER EXPENSES - SUB TOTAL</v>
          </cell>
          <cell r="D192">
            <v>107341880.23999999</v>
          </cell>
          <cell r="E192">
            <v>107341880.23999999</v>
          </cell>
        </row>
        <row r="193">
          <cell r="C193" t="str">
            <v>FINANCE COST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0</v>
          </cell>
          <cell r="E196">
            <v>0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</row>
        <row r="208">
          <cell r="B208">
            <v>9300</v>
          </cell>
          <cell r="C208" t="str">
            <v>Deferred Tax Expense / (Income) - Net</v>
          </cell>
          <cell r="D208">
            <v>0</v>
          </cell>
          <cell r="E208">
            <v>0</v>
          </cell>
        </row>
        <row r="209">
          <cell r="C209" t="str">
            <v>FINANCE COST - SUB TOTAL</v>
          </cell>
          <cell r="D209">
            <v>0</v>
          </cell>
          <cell r="E209">
            <v>0</v>
          </cell>
        </row>
      </sheetData>
      <sheetData sheetId="57">
        <row r="9">
          <cell r="B9">
            <v>1100</v>
          </cell>
        </row>
      </sheetData>
      <sheetData sheetId="58">
        <row r="9">
          <cell r="B9">
            <v>1100</v>
          </cell>
        </row>
      </sheetData>
      <sheetData sheetId="59"/>
      <sheetData sheetId="60">
        <row r="9">
          <cell r="B9">
            <v>1100</v>
          </cell>
        </row>
      </sheetData>
      <sheetData sheetId="61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1509245890.54</v>
          </cell>
          <cell r="E11">
            <v>1509245890.54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1054482859.77</v>
          </cell>
          <cell r="E13">
            <v>1054482859.77</v>
          </cell>
        </row>
        <row r="14">
          <cell r="B14">
            <v>1125</v>
          </cell>
          <cell r="C14" t="str">
            <v>Fixed charges on Electricity Bills</v>
          </cell>
          <cell r="D14">
            <v>137847885</v>
          </cell>
          <cell r="E14">
            <v>137847885</v>
          </cell>
        </row>
        <row r="15">
          <cell r="B15">
            <v>1200</v>
          </cell>
          <cell r="C15" t="str">
            <v>Fuel Surcharge Account</v>
          </cell>
          <cell r="D15">
            <v>350182509.14999998</v>
          </cell>
          <cell r="E15">
            <v>350182509.14999998</v>
          </cell>
        </row>
        <row r="16">
          <cell r="C16" t="str">
            <v>SUB TOTAL OF TURNOVER</v>
          </cell>
          <cell r="D16">
            <v>3051759144.46</v>
          </cell>
          <cell r="E16">
            <v>3051759144.46</v>
          </cell>
        </row>
        <row r="17">
          <cell r="C17" t="str">
            <v xml:space="preserve"> INTEREST INCOME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1490729.6</v>
          </cell>
          <cell r="E19">
            <v>1490729.6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C21" t="str">
            <v>SUB TOTAL OF INTEREST INCOME</v>
          </cell>
          <cell r="D21">
            <v>1490729.6</v>
          </cell>
          <cell r="E21">
            <v>1490729.6</v>
          </cell>
        </row>
        <row r="22">
          <cell r="C22" t="str">
            <v>DIVIDEND INCOME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</row>
        <row r="24">
          <cell r="C24" t="str">
            <v>SUB TOTAL OF DIVIDEND INCOME</v>
          </cell>
          <cell r="D24">
            <v>0</v>
          </cell>
          <cell r="E24">
            <v>0</v>
          </cell>
        </row>
        <row r="25">
          <cell r="C25" t="str">
            <v xml:space="preserve"> OVERHEAD RECOVERIES</v>
          </cell>
        </row>
        <row r="26">
          <cell r="B26">
            <v>1330</v>
          </cell>
          <cell r="C26" t="str">
            <v>Overhead Recoveries Account</v>
          </cell>
          <cell r="D26">
            <v>13758829.24</v>
          </cell>
          <cell r="E26">
            <v>13758829.24</v>
          </cell>
        </row>
        <row r="27">
          <cell r="B27">
            <v>1510</v>
          </cell>
          <cell r="C27" t="str">
            <v>Recoveries on House Rent Account</v>
          </cell>
          <cell r="D27">
            <v>79924.83</v>
          </cell>
          <cell r="E27">
            <v>79924.83</v>
          </cell>
        </row>
        <row r="28">
          <cell r="B28">
            <v>1520</v>
          </cell>
          <cell r="C28" t="str">
            <v>Recoveries on Telephone Account</v>
          </cell>
          <cell r="D28">
            <v>5671</v>
          </cell>
          <cell r="E28">
            <v>5671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29738.1</v>
          </cell>
          <cell r="E31">
            <v>29738.1</v>
          </cell>
        </row>
        <row r="32">
          <cell r="C32" t="str">
            <v>SUB TOTAL OF OVERHEAD RECOVERIES</v>
          </cell>
          <cell r="D32">
            <v>13874163.17</v>
          </cell>
          <cell r="E32">
            <v>13874163.17</v>
          </cell>
        </row>
        <row r="33">
          <cell r="C33" t="str">
            <v xml:space="preserve"> PROFIT / LOSS ON DISPOSAl OF PPE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</row>
        <row r="36">
          <cell r="C36" t="str">
            <v>SUB TOTAL OF PROFIT / LOSS ON DISPOSAl OF PPE</v>
          </cell>
          <cell r="D36">
            <v>0</v>
          </cell>
          <cell r="E36">
            <v>0</v>
          </cell>
        </row>
        <row r="37">
          <cell r="C37" t="str">
            <v xml:space="preserve"> MISSELANIOUS INCOME</v>
          </cell>
        </row>
        <row r="38">
          <cell r="B38">
            <v>1130</v>
          </cell>
          <cell r="C38" t="str">
            <v>Surcharge on Electricity Bills Account</v>
          </cell>
          <cell r="D38">
            <v>7372906.6900000004</v>
          </cell>
          <cell r="E38">
            <v>7372906.6900000004</v>
          </cell>
        </row>
        <row r="39">
          <cell r="B39">
            <v>1300</v>
          </cell>
          <cell r="C39" t="str">
            <v>Miscellaneous Income Account</v>
          </cell>
          <cell r="D39">
            <v>24157356.329999998</v>
          </cell>
          <cell r="E39">
            <v>24157356.329999998</v>
          </cell>
        </row>
        <row r="40">
          <cell r="B40">
            <v>1305</v>
          </cell>
          <cell r="C40" t="str">
            <v>Samurdhi Loan Interest  Account</v>
          </cell>
          <cell r="D40">
            <v>1897249.9</v>
          </cell>
          <cell r="E40">
            <v>1897249.9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349478.87</v>
          </cell>
          <cell r="E42">
            <v>349478.87</v>
          </cell>
        </row>
        <row r="43">
          <cell r="B43">
            <v>1320</v>
          </cell>
          <cell r="C43" t="str">
            <v>Re-usable Material Account</v>
          </cell>
          <cell r="D43">
            <v>0</v>
          </cell>
          <cell r="E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5793549.4000000004</v>
          </cell>
          <cell r="E45">
            <v>5793549.4000000004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41834.980000000003</v>
          </cell>
          <cell r="E46">
            <v>41834.980000000003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22410</v>
          </cell>
          <cell r="E47">
            <v>22410</v>
          </cell>
        </row>
        <row r="48">
          <cell r="B48">
            <v>1370</v>
          </cell>
          <cell r="C48" t="str">
            <v>Income on Cost Recovery Jobs Account</v>
          </cell>
          <cell r="D48">
            <v>351389.42</v>
          </cell>
          <cell r="E48">
            <v>351389.42</v>
          </cell>
        </row>
        <row r="49">
          <cell r="B49">
            <v>1380</v>
          </cell>
          <cell r="C49" t="str">
            <v>Service Main Application Fee Account</v>
          </cell>
          <cell r="D49">
            <v>963430</v>
          </cell>
          <cell r="E49">
            <v>963430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C52" t="str">
            <v>SUB TOTAL OF MISSELANIOUS INCOME</v>
          </cell>
          <cell r="D52">
            <v>40949605.589999996</v>
          </cell>
          <cell r="E52">
            <v>40949605.589999996</v>
          </cell>
        </row>
        <row r="53">
          <cell r="C53" t="str">
            <v>TOTAL INCOME</v>
          </cell>
          <cell r="D53">
            <v>3108073642.8200002</v>
          </cell>
          <cell r="E53">
            <v>3108073642.8200002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D55">
            <v>2113585.5</v>
          </cell>
          <cell r="E55">
            <v>2113585.5</v>
          </cell>
        </row>
        <row r="56">
          <cell r="B56">
            <v>2110</v>
          </cell>
          <cell r="C56" t="str">
            <v>Management Staff Allowances Account</v>
          </cell>
          <cell r="D56">
            <v>1134543</v>
          </cell>
          <cell r="E56">
            <v>1134543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34441579.700000003</v>
          </cell>
          <cell r="E58">
            <v>34441579.700000003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18013676.050000001</v>
          </cell>
          <cell r="E60">
            <v>18013676.050000001</v>
          </cell>
        </row>
        <row r="61">
          <cell r="B61">
            <v>2310</v>
          </cell>
          <cell r="C61" t="str">
            <v>Other Staff Allowances Account</v>
          </cell>
          <cell r="D61">
            <v>1809056.46</v>
          </cell>
          <cell r="E61">
            <v>1809056.46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36523062.270000003</v>
          </cell>
          <cell r="E64">
            <v>36523062.270000003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9010974</v>
          </cell>
          <cell r="E67">
            <v>9010974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</row>
        <row r="69">
          <cell r="B69">
            <v>2340</v>
          </cell>
          <cell r="C69" t="str">
            <v>Labor Rate Variance Account</v>
          </cell>
          <cell r="D69">
            <v>-16010260.979999999</v>
          </cell>
          <cell r="E69">
            <v>-16010260.979999999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93114.75</v>
          </cell>
          <cell r="E70">
            <v>93114.75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5530161.8099999996</v>
          </cell>
          <cell r="E71">
            <v>5530161.8099999996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5357080.76</v>
          </cell>
          <cell r="E73">
            <v>5357080.76</v>
          </cell>
        </row>
        <row r="74">
          <cell r="B74">
            <v>2510</v>
          </cell>
          <cell r="C74" t="str">
            <v>Incentive for Meter Readers Account</v>
          </cell>
          <cell r="D74">
            <v>180200</v>
          </cell>
          <cell r="E74">
            <v>180200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4789772.83</v>
          </cell>
          <cell r="E76">
            <v>4789772.83</v>
          </cell>
        </row>
        <row r="77">
          <cell r="B77">
            <v>2540</v>
          </cell>
          <cell r="C77" t="str">
            <v>Allowances to Trainees Account</v>
          </cell>
          <cell r="D77">
            <v>864000</v>
          </cell>
          <cell r="E77">
            <v>864000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0</v>
          </cell>
          <cell r="E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19088</v>
          </cell>
          <cell r="E82">
            <v>19088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4480</v>
          </cell>
          <cell r="E84">
            <v>4480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710</v>
          </cell>
          <cell r="E87">
            <v>710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2308759.94</v>
          </cell>
          <cell r="E89">
            <v>2308759.94</v>
          </cell>
        </row>
        <row r="90">
          <cell r="B90">
            <v>2641</v>
          </cell>
          <cell r="C90" t="str">
            <v>Medical Expenses  - Out door Account</v>
          </cell>
          <cell r="D90">
            <v>1490381</v>
          </cell>
          <cell r="E90">
            <v>1490381</v>
          </cell>
        </row>
        <row r="91">
          <cell r="B91">
            <v>2650</v>
          </cell>
          <cell r="C91" t="str">
            <v>Uniforms &amp; Protective Clothing Account</v>
          </cell>
          <cell r="D91">
            <v>1207380.48</v>
          </cell>
          <cell r="E91">
            <v>1207380.48</v>
          </cell>
        </row>
        <row r="92">
          <cell r="B92">
            <v>2660</v>
          </cell>
          <cell r="C92" t="str">
            <v>Reimbursement of loan Interest Account</v>
          </cell>
          <cell r="D92">
            <v>10487722.43</v>
          </cell>
          <cell r="E92">
            <v>10487722.43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0</v>
          </cell>
        </row>
        <row r="94">
          <cell r="B94">
            <v>2680</v>
          </cell>
          <cell r="C94" t="str">
            <v>CEB Pension Fund Account</v>
          </cell>
          <cell r="D94">
            <v>5330885.5</v>
          </cell>
          <cell r="E94">
            <v>5330885.5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2002387.83</v>
          </cell>
          <cell r="E96">
            <v>2002387.83</v>
          </cell>
        </row>
        <row r="97">
          <cell r="B97">
            <v>2710</v>
          </cell>
          <cell r="C97" t="str">
            <v>CEB Provident Fund Account</v>
          </cell>
          <cell r="D97">
            <v>10007733.470000001</v>
          </cell>
          <cell r="E97">
            <v>10007733.470000001</v>
          </cell>
        </row>
        <row r="98">
          <cell r="C98" t="str">
            <v>personel cost on pension fund</v>
          </cell>
          <cell r="D98">
            <v>0</v>
          </cell>
          <cell r="E98">
            <v>0</v>
          </cell>
        </row>
        <row r="99">
          <cell r="C99" t="str">
            <v>PERSONNEL EXPENSES - SUB TOTAL</v>
          </cell>
          <cell r="D99">
            <v>136710074.80000001</v>
          </cell>
          <cell r="E99">
            <v>136710074.80000001</v>
          </cell>
        </row>
        <row r="100">
          <cell r="C100" t="str">
            <v xml:space="preserve"> MATERIAL COST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2498981554.2199998</v>
          </cell>
          <cell r="E104">
            <v>2498981554.2199998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70047889.5</v>
          </cell>
          <cell r="E110">
            <v>70047889.5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</row>
        <row r="115">
          <cell r="B115">
            <v>3212</v>
          </cell>
          <cell r="C115" t="str">
            <v>Expenses on Tug Boats and Barges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0</v>
          </cell>
        </row>
        <row r="119">
          <cell r="B119">
            <v>3300</v>
          </cell>
          <cell r="C119" t="str">
            <v>Loose Tools Account</v>
          </cell>
          <cell r="D119">
            <v>723040.8</v>
          </cell>
          <cell r="E119">
            <v>723040.8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3831302.95</v>
          </cell>
          <cell r="E122">
            <v>3831302.95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102021.14</v>
          </cell>
          <cell r="E123">
            <v>102021.14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C125" t="str">
            <v>MATERIAL COST - SUB TOTAL</v>
          </cell>
          <cell r="D125">
            <v>2573685808.6099997</v>
          </cell>
          <cell r="E125">
            <v>2573685808.6099997</v>
          </cell>
        </row>
        <row r="126">
          <cell r="C126" t="str">
            <v>ACCOMMODATION EXPENSES</v>
          </cell>
        </row>
        <row r="127">
          <cell r="B127">
            <v>4100</v>
          </cell>
          <cell r="C127" t="str">
            <v>Housing Rent and Rates Account</v>
          </cell>
          <cell r="D127">
            <v>2494000</v>
          </cell>
          <cell r="E127">
            <v>2494000</v>
          </cell>
        </row>
        <row r="128">
          <cell r="B128">
            <v>4110</v>
          </cell>
          <cell r="C128" t="str">
            <v>Building Maintenance Account</v>
          </cell>
          <cell r="D128">
            <v>1236002.22</v>
          </cell>
          <cell r="E128">
            <v>1236002.22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310737.7</v>
          </cell>
          <cell r="E130">
            <v>310737.7</v>
          </cell>
        </row>
        <row r="131">
          <cell r="B131">
            <v>4300</v>
          </cell>
          <cell r="C131" t="str">
            <v>Electricity  Consumption Account</v>
          </cell>
          <cell r="D131">
            <v>1029982.38</v>
          </cell>
          <cell r="E131">
            <v>1029982.38</v>
          </cell>
        </row>
        <row r="132">
          <cell r="B132">
            <v>4400</v>
          </cell>
          <cell r="C132" t="str">
            <v>Water Supply Charges Account</v>
          </cell>
          <cell r="D132">
            <v>353340.25</v>
          </cell>
          <cell r="E132">
            <v>353340.25</v>
          </cell>
        </row>
        <row r="133">
          <cell r="C133" t="str">
            <v>ACCOMMODATION EXPENSES - SUB TOTAL</v>
          </cell>
          <cell r="D133">
            <v>5424062.5499999998</v>
          </cell>
          <cell r="E133">
            <v>5424062.5499999998</v>
          </cell>
        </row>
        <row r="134">
          <cell r="C134" t="str">
            <v>TRANSPORT &amp; COMMUNICATION EXPENSES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3785943.73</v>
          </cell>
          <cell r="E135">
            <v>3785943.73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9560376.8200000003</v>
          </cell>
          <cell r="E137">
            <v>9560376.8200000003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7109352.9199999999</v>
          </cell>
          <cell r="E138">
            <v>7109352.9199999999</v>
          </cell>
        </row>
        <row r="139">
          <cell r="B139">
            <v>5220</v>
          </cell>
          <cell r="C139" t="str">
            <v>Vehicle Hire Charges Account</v>
          </cell>
          <cell r="D139">
            <v>10096531</v>
          </cell>
          <cell r="E139">
            <v>10096531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933351.16</v>
          </cell>
          <cell r="E141">
            <v>933351.16</v>
          </cell>
        </row>
        <row r="142">
          <cell r="B142">
            <v>5310</v>
          </cell>
          <cell r="C142" t="str">
            <v>Postage Account</v>
          </cell>
          <cell r="D142">
            <v>160210</v>
          </cell>
          <cell r="E142">
            <v>160210</v>
          </cell>
        </row>
        <row r="143">
          <cell r="B143">
            <v>5320</v>
          </cell>
          <cell r="C143" t="str">
            <v>Telecommunications Account</v>
          </cell>
          <cell r="D143">
            <v>740761.71000000008</v>
          </cell>
          <cell r="E143">
            <v>740761.71000000008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</v>
          </cell>
          <cell r="D145">
            <v>182004.77</v>
          </cell>
          <cell r="E145">
            <v>182004.77</v>
          </cell>
        </row>
        <row r="146">
          <cell r="B146">
            <v>5323</v>
          </cell>
          <cell r="C146" t="str">
            <v>Expenses on Software licenses and  maintenance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D147">
            <v>0</v>
          </cell>
          <cell r="E147">
            <v>0</v>
          </cell>
        </row>
        <row r="148">
          <cell r="C148" t="str">
            <v>TRANSPORT &amp; COMMUNICATION EXP. - SUB TOTAL</v>
          </cell>
          <cell r="D148">
            <v>32568532.109999999</v>
          </cell>
          <cell r="E148">
            <v>32568532.109999999</v>
          </cell>
        </row>
        <row r="149">
          <cell r="C149" t="str">
            <v xml:space="preserve"> DEPRECIATION</v>
          </cell>
        </row>
        <row r="150">
          <cell r="B150">
            <v>6000</v>
          </cell>
          <cell r="C150" t="str">
            <v>Depreciation Account</v>
          </cell>
          <cell r="D150">
            <v>0</v>
          </cell>
          <cell r="E150">
            <v>0</v>
          </cell>
        </row>
        <row r="151">
          <cell r="C151" t="str">
            <v>DEPRECIATION - SUB TOTAL</v>
          </cell>
          <cell r="D151">
            <v>0</v>
          </cell>
          <cell r="E151">
            <v>0</v>
          </cell>
        </row>
        <row r="152">
          <cell r="C152" t="str">
            <v xml:space="preserve"> OTHER EXPENSES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6410500.4900000002</v>
          </cell>
          <cell r="E154">
            <v>6410500.4900000002</v>
          </cell>
        </row>
        <row r="155">
          <cell r="B155">
            <v>7211</v>
          </cell>
          <cell r="C155" t="str">
            <v>Payment to Manpower Agencies Account</v>
          </cell>
          <cell r="D155">
            <v>31854216.489999998</v>
          </cell>
          <cell r="E155">
            <v>31854216.489999998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41620</v>
          </cell>
          <cell r="E160">
            <v>41620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0</v>
          </cell>
          <cell r="E168">
            <v>0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</row>
        <row r="170">
          <cell r="B170">
            <v>7510</v>
          </cell>
          <cell r="C170" t="str">
            <v>Entertainment Account</v>
          </cell>
          <cell r="D170">
            <v>54775</v>
          </cell>
          <cell r="E170">
            <v>54775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883118.72</v>
          </cell>
          <cell r="E172">
            <v>883118.72</v>
          </cell>
        </row>
        <row r="173">
          <cell r="B173">
            <v>7600</v>
          </cell>
          <cell r="C173" t="str">
            <v>Insurance Premiums Account</v>
          </cell>
          <cell r="D173">
            <v>68449.19</v>
          </cell>
          <cell r="E173">
            <v>68449.19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1135080.6399999999</v>
          </cell>
          <cell r="E176">
            <v>1135080.6399999999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302728105.32999998</v>
          </cell>
          <cell r="E179">
            <v>302728105.32999998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233088.98</v>
          </cell>
          <cell r="E182">
            <v>233088.98</v>
          </cell>
        </row>
        <row r="183">
          <cell r="B183">
            <v>7810</v>
          </cell>
          <cell r="C183" t="str">
            <v>Compensation to Third Parties Account</v>
          </cell>
          <cell r="D183">
            <v>60438</v>
          </cell>
          <cell r="E183">
            <v>60438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369409.48</v>
          </cell>
          <cell r="E184">
            <v>369409.48</v>
          </cell>
        </row>
        <row r="185">
          <cell r="B185">
            <v>7830</v>
          </cell>
          <cell r="C185" t="str">
            <v>Way Leaves Account</v>
          </cell>
          <cell r="D185">
            <v>12731104.76</v>
          </cell>
          <cell r="E185">
            <v>12731104.76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3078911.57</v>
          </cell>
          <cell r="E188">
            <v>3078911.57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>Expenses on Cost Recovery Traning</v>
          </cell>
          <cell r="D191">
            <v>0</v>
          </cell>
          <cell r="E191">
            <v>0</v>
          </cell>
        </row>
        <row r="192">
          <cell r="B192">
            <v>7856</v>
          </cell>
          <cell r="C192" t="str">
            <v xml:space="preserve">TEMP ILLUMINS, LIGHT F </v>
          </cell>
          <cell r="D192">
            <v>0</v>
          </cell>
          <cell r="E192">
            <v>0</v>
          </cell>
        </row>
        <row r="193">
          <cell r="C193" t="str">
            <v>OTHER EXPENSES - SUB TOTAL</v>
          </cell>
          <cell r="D193">
            <v>359648818.64999998</v>
          </cell>
          <cell r="E193">
            <v>359648818.64999998</v>
          </cell>
        </row>
        <row r="194">
          <cell r="C194" t="str">
            <v>FINANCE COST</v>
          </cell>
        </row>
        <row r="195">
          <cell r="B195">
            <v>8100</v>
          </cell>
          <cell r="C195" t="str">
            <v>Overdraft  Interest Account</v>
          </cell>
          <cell r="D195">
            <v>0</v>
          </cell>
          <cell r="E195">
            <v>0</v>
          </cell>
        </row>
        <row r="196">
          <cell r="B196">
            <v>8110</v>
          </cell>
          <cell r="C196" t="str">
            <v xml:space="preserve">Long / Short Term Interest Account </v>
          </cell>
          <cell r="D196">
            <v>0</v>
          </cell>
          <cell r="E196">
            <v>0</v>
          </cell>
        </row>
        <row r="197">
          <cell r="B197">
            <v>8200</v>
          </cell>
          <cell r="C197" t="str">
            <v>Bank Charges Account</v>
          </cell>
          <cell r="D197">
            <v>36346.1</v>
          </cell>
          <cell r="E197">
            <v>36346.1</v>
          </cell>
        </row>
        <row r="198">
          <cell r="B198">
            <v>8300</v>
          </cell>
          <cell r="C198" t="str">
            <v>Exchange Rate Gain/ Losses  Account</v>
          </cell>
          <cell r="D198">
            <v>0</v>
          </cell>
          <cell r="E198">
            <v>0</v>
          </cell>
        </row>
        <row r="199">
          <cell r="B199">
            <v>8400</v>
          </cell>
          <cell r="C199" t="str">
            <v>Lease Interest Account</v>
          </cell>
          <cell r="D199">
            <v>0</v>
          </cell>
          <cell r="E199">
            <v>0</v>
          </cell>
        </row>
        <row r="200">
          <cell r="B200">
            <v>8500</v>
          </cell>
          <cell r="C200" t="str">
            <v>Project Loan Interest Account</v>
          </cell>
          <cell r="D200">
            <v>0</v>
          </cell>
          <cell r="E200">
            <v>0</v>
          </cell>
        </row>
        <row r="201">
          <cell r="B201">
            <v>8600</v>
          </cell>
          <cell r="C201" t="str">
            <v>Commission on Electricity Bill Collection Account</v>
          </cell>
          <cell r="D201">
            <v>0</v>
          </cell>
          <cell r="E201">
            <v>0</v>
          </cell>
        </row>
        <row r="202">
          <cell r="B202">
            <v>8700</v>
          </cell>
          <cell r="C202" t="str">
            <v>Delayed Interest on IPP Payments Account</v>
          </cell>
          <cell r="D202">
            <v>0</v>
          </cell>
          <cell r="E202">
            <v>0</v>
          </cell>
        </row>
        <row r="203">
          <cell r="B203">
            <v>9100</v>
          </cell>
          <cell r="C203" t="str">
            <v>Debit Tax Account</v>
          </cell>
          <cell r="D203">
            <v>0</v>
          </cell>
          <cell r="E203">
            <v>0</v>
          </cell>
        </row>
        <row r="204">
          <cell r="B204">
            <v>9110</v>
          </cell>
          <cell r="C204" t="str">
            <v>Stamp Duty Account</v>
          </cell>
          <cell r="D204">
            <v>0</v>
          </cell>
          <cell r="E204">
            <v>0</v>
          </cell>
        </row>
        <row r="205">
          <cell r="B205">
            <v>9120</v>
          </cell>
          <cell r="C205" t="str">
            <v>Write Off  of Unrecoverable Economic Service Charge Account</v>
          </cell>
          <cell r="D205">
            <v>0</v>
          </cell>
          <cell r="E205">
            <v>0</v>
          </cell>
        </row>
        <row r="206">
          <cell r="B206">
            <v>9130</v>
          </cell>
          <cell r="C206" t="str">
            <v>Income Tax Account</v>
          </cell>
          <cell r="D206">
            <v>0</v>
          </cell>
          <cell r="E206">
            <v>0</v>
          </cell>
        </row>
        <row r="207">
          <cell r="B207">
            <v>9140</v>
          </cell>
          <cell r="C207" t="str">
            <v>Other Taxes Account</v>
          </cell>
          <cell r="D207">
            <v>0</v>
          </cell>
          <cell r="E207">
            <v>0</v>
          </cell>
        </row>
        <row r="208">
          <cell r="B208">
            <v>9200</v>
          </cell>
          <cell r="C208" t="str">
            <v>CON. FUND TAX</v>
          </cell>
          <cell r="D208">
            <v>0</v>
          </cell>
          <cell r="E208">
            <v>0</v>
          </cell>
        </row>
        <row r="209">
          <cell r="B209">
            <v>9300</v>
          </cell>
          <cell r="C209" t="str">
            <v>Deferred Tax Expense / (Income) - Net</v>
          </cell>
          <cell r="D209">
            <v>0</v>
          </cell>
          <cell r="E209">
            <v>0</v>
          </cell>
        </row>
        <row r="210">
          <cell r="C210" t="str">
            <v>FINANCE COST - SUB TOTAL</v>
          </cell>
          <cell r="D210">
            <v>36346.1</v>
          </cell>
          <cell r="E210">
            <v>36346.1</v>
          </cell>
        </row>
      </sheetData>
      <sheetData sheetId="62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659798289.32000005</v>
          </cell>
          <cell r="E11">
            <v>659798289.32000005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1353712862.74</v>
          </cell>
          <cell r="E13">
            <v>1353712862.74</v>
          </cell>
        </row>
        <row r="14">
          <cell r="B14">
            <v>1125</v>
          </cell>
          <cell r="C14" t="str">
            <v>Fixed charges on Electricity Bills</v>
          </cell>
          <cell r="D14">
            <v>169520880</v>
          </cell>
          <cell r="E14">
            <v>169520880</v>
          </cell>
        </row>
        <row r="15">
          <cell r="B15">
            <v>1200</v>
          </cell>
          <cell r="C15" t="str">
            <v>Fuel Surcharge Account</v>
          </cell>
          <cell r="D15">
            <v>335713221.91000003</v>
          </cell>
          <cell r="E15">
            <v>335713221.91000003</v>
          </cell>
        </row>
        <row r="16">
          <cell r="C16" t="str">
            <v>SUB TOTAL OF TURNOVER</v>
          </cell>
          <cell r="D16">
            <v>2518745253.9699998</v>
          </cell>
          <cell r="E16">
            <v>2518745253.9699998</v>
          </cell>
        </row>
        <row r="17">
          <cell r="C17" t="str">
            <v xml:space="preserve"> INTEREST INCOME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2289179.75</v>
          </cell>
          <cell r="E19">
            <v>2289179.75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C21" t="str">
            <v>SUB TOTAL OF INTEREST INCOME</v>
          </cell>
          <cell r="D21">
            <v>2289179.75</v>
          </cell>
          <cell r="E21">
            <v>2289179.75</v>
          </cell>
        </row>
        <row r="22">
          <cell r="C22" t="str">
            <v>DIVIDEND INCOME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</row>
        <row r="24">
          <cell r="C24" t="str">
            <v>SUB TOTAL OF DIVIDEND INCOME</v>
          </cell>
          <cell r="D24">
            <v>0</v>
          </cell>
          <cell r="E24">
            <v>0</v>
          </cell>
        </row>
        <row r="25">
          <cell r="C25" t="str">
            <v xml:space="preserve"> OVERHEAD RECOVERIES</v>
          </cell>
        </row>
        <row r="26">
          <cell r="B26">
            <v>1330</v>
          </cell>
          <cell r="C26" t="str">
            <v>Overhead Recoveries Account</v>
          </cell>
          <cell r="D26">
            <v>15069728.66</v>
          </cell>
          <cell r="E26">
            <v>15069728.66</v>
          </cell>
        </row>
        <row r="27">
          <cell r="B27">
            <v>1510</v>
          </cell>
          <cell r="C27" t="str">
            <v>Recoveries on House Rent Account</v>
          </cell>
          <cell r="D27">
            <v>236338.94</v>
          </cell>
          <cell r="E27">
            <v>236338.94</v>
          </cell>
        </row>
        <row r="28">
          <cell r="B28">
            <v>1520</v>
          </cell>
          <cell r="C28" t="str">
            <v>Recoveries on Telephone Account</v>
          </cell>
          <cell r="D28">
            <v>489.14</v>
          </cell>
          <cell r="E28">
            <v>489.14</v>
          </cell>
        </row>
        <row r="29">
          <cell r="B29">
            <v>1530</v>
          </cell>
          <cell r="C29" t="str">
            <v>Recoveries on Use of Motor Vehicle Account</v>
          </cell>
          <cell r="D29">
            <v>4200</v>
          </cell>
          <cell r="E29">
            <v>4200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</row>
        <row r="32">
          <cell r="C32" t="str">
            <v>SUB TOTAL OF OVERHEAD RECOVERIES</v>
          </cell>
          <cell r="D32">
            <v>15310756.74</v>
          </cell>
          <cell r="E32">
            <v>15310756.74</v>
          </cell>
        </row>
        <row r="33">
          <cell r="C33" t="str">
            <v xml:space="preserve"> PROFIT / LOSS ON DISPOSAl OF PPE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292897.11</v>
          </cell>
          <cell r="E35">
            <v>292897.11</v>
          </cell>
        </row>
        <row r="36">
          <cell r="C36" t="str">
            <v>SUB TOTAL OF PROFIT / LOSS ON DISPOSAl OF PPE</v>
          </cell>
          <cell r="D36">
            <v>292897.11</v>
          </cell>
          <cell r="E36">
            <v>292897.11</v>
          </cell>
        </row>
        <row r="37">
          <cell r="C37" t="str">
            <v xml:space="preserve"> MISSELANIOUS INCOME</v>
          </cell>
        </row>
        <row r="38">
          <cell r="B38">
            <v>1130</v>
          </cell>
          <cell r="C38" t="str">
            <v>Surcharge on Electricity Bills Account</v>
          </cell>
          <cell r="D38">
            <v>11914305.060000001</v>
          </cell>
          <cell r="E38">
            <v>11914305.060000001</v>
          </cell>
        </row>
        <row r="39">
          <cell r="B39">
            <v>1300</v>
          </cell>
          <cell r="C39" t="str">
            <v>Miscellaneous Income Account</v>
          </cell>
          <cell r="D39">
            <v>10149202.57</v>
          </cell>
          <cell r="E39">
            <v>10149202.57</v>
          </cell>
        </row>
        <row r="40">
          <cell r="B40">
            <v>1305</v>
          </cell>
          <cell r="C40" t="str">
            <v>Samurdhi Loan Interest  Account</v>
          </cell>
          <cell r="D40">
            <v>1428207.79</v>
          </cell>
          <cell r="E40">
            <v>1428207.79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166796.84</v>
          </cell>
          <cell r="E42">
            <v>166796.84</v>
          </cell>
        </row>
        <row r="43">
          <cell r="B43">
            <v>1320</v>
          </cell>
          <cell r="C43" t="str">
            <v>Re-usable Material Account</v>
          </cell>
          <cell r="D43">
            <v>0</v>
          </cell>
          <cell r="E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4584037.45</v>
          </cell>
          <cell r="E45">
            <v>4584037.45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31470</v>
          </cell>
          <cell r="E46">
            <v>31470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250</v>
          </cell>
          <cell r="E47">
            <v>250</v>
          </cell>
        </row>
        <row r="48">
          <cell r="B48">
            <v>1370</v>
          </cell>
          <cell r="C48" t="str">
            <v>Income on Cost Recovery Jobs Account</v>
          </cell>
          <cell r="D48">
            <v>106507.9</v>
          </cell>
          <cell r="E48">
            <v>106507.9</v>
          </cell>
        </row>
        <row r="49">
          <cell r="B49">
            <v>1380</v>
          </cell>
          <cell r="C49" t="str">
            <v>Service Main Application Fee Account</v>
          </cell>
          <cell r="D49">
            <v>941840</v>
          </cell>
          <cell r="E49">
            <v>941840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C52" t="str">
            <v>SUB TOTAL OF MISSELANIOUS INCOME</v>
          </cell>
          <cell r="D52">
            <v>29322617.609999999</v>
          </cell>
          <cell r="E52">
            <v>29322617.609999999</v>
          </cell>
        </row>
        <row r="53">
          <cell r="C53" t="str">
            <v>TOTAL INCOME</v>
          </cell>
          <cell r="D53">
            <v>2565960705.1799998</v>
          </cell>
          <cell r="E53">
            <v>2565960705.1799998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D55">
            <v>2728751.28</v>
          </cell>
          <cell r="E55">
            <v>2728751.28</v>
          </cell>
        </row>
        <row r="56">
          <cell r="B56">
            <v>2110</v>
          </cell>
          <cell r="C56" t="str">
            <v>Management Staff Allowances Account</v>
          </cell>
          <cell r="D56">
            <v>1374627.45</v>
          </cell>
          <cell r="E56">
            <v>1374627.45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57527183.859999999</v>
          </cell>
          <cell r="E58">
            <v>57527183.859999999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26460014.129999999</v>
          </cell>
          <cell r="E60">
            <v>26460014.129999999</v>
          </cell>
        </row>
        <row r="61">
          <cell r="B61">
            <v>2310</v>
          </cell>
          <cell r="C61" t="str">
            <v>Other Staff Allowances Account</v>
          </cell>
          <cell r="D61">
            <v>2380563.2000000002</v>
          </cell>
          <cell r="E61">
            <v>2380563.2000000002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46006140.609999999</v>
          </cell>
          <cell r="E64">
            <v>46006140.609999999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21712299.25</v>
          </cell>
          <cell r="E67">
            <v>21712299.25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</row>
        <row r="69">
          <cell r="B69">
            <v>2340</v>
          </cell>
          <cell r="C69" t="str">
            <v>Labor Rate Variance Account</v>
          </cell>
          <cell r="D69">
            <v>-15331698.470000001</v>
          </cell>
          <cell r="E69">
            <v>-15331698.470000001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406632.05</v>
          </cell>
          <cell r="E70">
            <v>406632.05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9013340.5899999999</v>
          </cell>
          <cell r="E71">
            <v>9013340.5899999999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8408334.4100000001</v>
          </cell>
          <cell r="E73">
            <v>8408334.4100000001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6756549.9199999999</v>
          </cell>
          <cell r="E76">
            <v>6756549.9199999999</v>
          </cell>
        </row>
        <row r="77">
          <cell r="B77">
            <v>2540</v>
          </cell>
          <cell r="C77" t="str">
            <v>Allowances to Trainees Account</v>
          </cell>
          <cell r="D77">
            <v>1972800</v>
          </cell>
          <cell r="E77">
            <v>1972800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0</v>
          </cell>
          <cell r="E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20350</v>
          </cell>
          <cell r="E82">
            <v>20350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24351.02</v>
          </cell>
          <cell r="E84">
            <v>24351.02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4190</v>
          </cell>
          <cell r="E87">
            <v>4190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7328662.21</v>
          </cell>
          <cell r="E89">
            <v>7328662.21</v>
          </cell>
        </row>
        <row r="90">
          <cell r="B90">
            <v>2641</v>
          </cell>
          <cell r="C90" t="str">
            <v>Medical Expenses  - Out door Account</v>
          </cell>
          <cell r="D90">
            <v>2175260.06</v>
          </cell>
          <cell r="E90">
            <v>2175260.06</v>
          </cell>
        </row>
        <row r="91">
          <cell r="B91">
            <v>2650</v>
          </cell>
          <cell r="C91" t="str">
            <v>Uniforms &amp; Protective Clothing Account</v>
          </cell>
          <cell r="D91">
            <v>882155</v>
          </cell>
          <cell r="E91">
            <v>882155</v>
          </cell>
        </row>
        <row r="92">
          <cell r="B92">
            <v>2660</v>
          </cell>
          <cell r="C92" t="str">
            <v>Reimbursement of loan Interest Account</v>
          </cell>
          <cell r="D92">
            <v>16445712.439999999</v>
          </cell>
          <cell r="E92">
            <v>16445712.439999999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0</v>
          </cell>
        </row>
        <row r="94">
          <cell r="B94">
            <v>2680</v>
          </cell>
          <cell r="C94" t="str">
            <v>CEB Pension Fund Account</v>
          </cell>
          <cell r="D94">
            <v>7834338.1600000001</v>
          </cell>
          <cell r="E94">
            <v>7834338.1600000001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2941848</v>
          </cell>
          <cell r="E96">
            <v>2941848</v>
          </cell>
        </row>
        <row r="97">
          <cell r="B97">
            <v>2710</v>
          </cell>
          <cell r="C97" t="str">
            <v>CEB Provident Fund Account</v>
          </cell>
          <cell r="D97">
            <v>14684870.15</v>
          </cell>
          <cell r="E97">
            <v>14684870.15</v>
          </cell>
        </row>
        <row r="98">
          <cell r="C98" t="str">
            <v>personel cost on pension fund</v>
          </cell>
          <cell r="E98">
            <v>0</v>
          </cell>
        </row>
        <row r="99">
          <cell r="C99" t="str">
            <v>PERSONNEL EXPENSES - SUB TOTAL</v>
          </cell>
          <cell r="D99">
            <v>221757275.32000002</v>
          </cell>
          <cell r="E99">
            <v>221757275.32000002</v>
          </cell>
        </row>
        <row r="100">
          <cell r="C100" t="str">
            <v xml:space="preserve"> MATERIAL COST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1914776800.45</v>
          </cell>
          <cell r="E104">
            <v>1914776800.45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61555458.899999999</v>
          </cell>
          <cell r="E110">
            <v>61555458.899999999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</row>
        <row r="115">
          <cell r="B115">
            <v>3212</v>
          </cell>
          <cell r="C115" t="str">
            <v>Expenses on Tug Boats and Barges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0</v>
          </cell>
        </row>
        <row r="119">
          <cell r="B119">
            <v>3300</v>
          </cell>
          <cell r="C119" t="str">
            <v>Loose Tools Account</v>
          </cell>
          <cell r="D119">
            <v>738249.98</v>
          </cell>
          <cell r="E119">
            <v>738249.98</v>
          </cell>
        </row>
        <row r="120">
          <cell r="B120">
            <v>3410</v>
          </cell>
          <cell r="C120" t="str">
            <v>Stores Discrepancies Account</v>
          </cell>
          <cell r="D120">
            <v>373665.5</v>
          </cell>
          <cell r="E120">
            <v>373665.5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5036903.28</v>
          </cell>
          <cell r="E122">
            <v>5036903.28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-1014573.6</v>
          </cell>
          <cell r="E123">
            <v>-1014573.6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C125" t="str">
            <v>MATERIAL COST - SUB TOTAL</v>
          </cell>
          <cell r="D125">
            <v>1981466504.5100002</v>
          </cell>
          <cell r="E125">
            <v>1981466504.5100002</v>
          </cell>
        </row>
        <row r="126">
          <cell r="C126" t="str">
            <v>ACCOMMODATION EXPENSES</v>
          </cell>
        </row>
        <row r="127">
          <cell r="B127">
            <v>4100</v>
          </cell>
          <cell r="C127" t="str">
            <v>Housing Rent and Rates Account</v>
          </cell>
          <cell r="D127">
            <v>1249045</v>
          </cell>
          <cell r="E127">
            <v>1249045</v>
          </cell>
        </row>
        <row r="128">
          <cell r="B128">
            <v>4110</v>
          </cell>
          <cell r="C128" t="str">
            <v>Building Maintenance Account</v>
          </cell>
          <cell r="D128">
            <v>1253969.2</v>
          </cell>
          <cell r="E128">
            <v>1253969.2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128575</v>
          </cell>
          <cell r="E130">
            <v>128575</v>
          </cell>
        </row>
        <row r="131">
          <cell r="B131">
            <v>4300</v>
          </cell>
          <cell r="C131" t="str">
            <v>Electricity  Consumption Account</v>
          </cell>
          <cell r="D131">
            <v>1221205.22</v>
          </cell>
          <cell r="E131">
            <v>1221205.22</v>
          </cell>
        </row>
        <row r="132">
          <cell r="B132">
            <v>4400</v>
          </cell>
          <cell r="C132" t="str">
            <v>Water Supply Charges Account</v>
          </cell>
          <cell r="D132">
            <v>553463.38</v>
          </cell>
          <cell r="E132">
            <v>553463.38</v>
          </cell>
        </row>
        <row r="133">
          <cell r="C133" t="str">
            <v>ACCOMMODATION EXPENSES - SUB TOTAL</v>
          </cell>
          <cell r="D133">
            <v>4406257.8</v>
          </cell>
          <cell r="E133">
            <v>4406257.8</v>
          </cell>
        </row>
        <row r="134">
          <cell r="C134" t="str">
            <v>TRANSPORT &amp; COMMUNICATION EXPENSES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4558302.05</v>
          </cell>
          <cell r="E135">
            <v>4558302.05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5749334.6799999997</v>
          </cell>
          <cell r="E137">
            <v>5749334.6799999997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9606651.4299999997</v>
          </cell>
          <cell r="E138">
            <v>9606651.4299999997</v>
          </cell>
        </row>
        <row r="139">
          <cell r="B139">
            <v>5220</v>
          </cell>
          <cell r="C139" t="str">
            <v>Vehicle Hire Charges Account</v>
          </cell>
          <cell r="D139">
            <v>7801493.8799999999</v>
          </cell>
          <cell r="E139">
            <v>7801493.8799999999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1707983.02</v>
          </cell>
          <cell r="E141">
            <v>1707983.02</v>
          </cell>
        </row>
        <row r="142">
          <cell r="B142">
            <v>5310</v>
          </cell>
          <cell r="C142" t="str">
            <v>Postage Account</v>
          </cell>
          <cell r="D142">
            <v>67073</v>
          </cell>
          <cell r="E142">
            <v>67073</v>
          </cell>
        </row>
        <row r="143">
          <cell r="B143">
            <v>5320</v>
          </cell>
          <cell r="C143" t="str">
            <v>Telecommunications Account</v>
          </cell>
          <cell r="D143">
            <v>846111.01</v>
          </cell>
          <cell r="E143">
            <v>846111.01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</v>
          </cell>
          <cell r="D145">
            <v>0</v>
          </cell>
          <cell r="E145">
            <v>0</v>
          </cell>
        </row>
        <row r="146">
          <cell r="B146">
            <v>5323</v>
          </cell>
          <cell r="C146" t="str">
            <v>Expenses on Software licenses and  maintenance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D147">
            <v>0</v>
          </cell>
          <cell r="E147">
            <v>0</v>
          </cell>
        </row>
        <row r="148">
          <cell r="C148" t="str">
            <v>TRANSPORT &amp; COMMUNICATION EXP. - SUB TOTAL</v>
          </cell>
          <cell r="D148">
            <v>30336949.07</v>
          </cell>
          <cell r="E148">
            <v>30336949.07</v>
          </cell>
        </row>
        <row r="149">
          <cell r="C149" t="str">
            <v xml:space="preserve"> DEPRECIATION</v>
          </cell>
        </row>
        <row r="150">
          <cell r="B150">
            <v>6000</v>
          </cell>
          <cell r="C150" t="str">
            <v>Depreciation Account</v>
          </cell>
          <cell r="D150">
            <v>0</v>
          </cell>
          <cell r="E150">
            <v>0</v>
          </cell>
        </row>
        <row r="151">
          <cell r="C151" t="str">
            <v>DEPRECIATION - SUB TOTAL</v>
          </cell>
          <cell r="D151">
            <v>0</v>
          </cell>
          <cell r="E151">
            <v>0</v>
          </cell>
        </row>
        <row r="152">
          <cell r="C152" t="str">
            <v xml:space="preserve"> OTHER EXPENSES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5540810.4000000004</v>
          </cell>
          <cell r="E154">
            <v>5540810.4000000004</v>
          </cell>
        </row>
        <row r="155">
          <cell r="B155">
            <v>7211</v>
          </cell>
          <cell r="C155" t="str">
            <v>Payment to Manpower Agencies Account</v>
          </cell>
          <cell r="D155">
            <v>36420617.93</v>
          </cell>
          <cell r="E155">
            <v>36420617.93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53580</v>
          </cell>
          <cell r="E160">
            <v>53580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7626.56</v>
          </cell>
          <cell r="E168">
            <v>7626.56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</row>
        <row r="170">
          <cell r="B170">
            <v>7510</v>
          </cell>
          <cell r="C170" t="str">
            <v>Entertainment Account</v>
          </cell>
          <cell r="D170">
            <v>30046</v>
          </cell>
          <cell r="E170">
            <v>30046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88375</v>
          </cell>
          <cell r="E172">
            <v>88375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625000</v>
          </cell>
          <cell r="E176">
            <v>625000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269332400.27999997</v>
          </cell>
          <cell r="E179">
            <v>269332400.27999997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426252.52</v>
          </cell>
          <cell r="E182">
            <v>426252.52</v>
          </cell>
        </row>
        <row r="183">
          <cell r="B183">
            <v>7810</v>
          </cell>
          <cell r="C183" t="str">
            <v>Compensation to Third Parties Account</v>
          </cell>
          <cell r="D183">
            <v>19676</v>
          </cell>
          <cell r="E183">
            <v>19676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167381.07</v>
          </cell>
          <cell r="E184">
            <v>167381.07</v>
          </cell>
        </row>
        <row r="185">
          <cell r="B185">
            <v>7830</v>
          </cell>
          <cell r="C185" t="str">
            <v>Way Leaves Account</v>
          </cell>
          <cell r="D185">
            <v>13269074.6</v>
          </cell>
          <cell r="E185">
            <v>13269074.6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826202.08</v>
          </cell>
          <cell r="E186">
            <v>826202.08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1161422.04</v>
          </cell>
          <cell r="E188">
            <v>1161422.04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>Expenses on Cost Recovery Traning</v>
          </cell>
          <cell r="D191">
            <v>0</v>
          </cell>
          <cell r="E191">
            <v>0</v>
          </cell>
        </row>
        <row r="192">
          <cell r="C192" t="str">
            <v>OTHER EXPENSES - SUB TOTAL</v>
          </cell>
          <cell r="D192">
            <v>327968464.47999996</v>
          </cell>
          <cell r="E192">
            <v>327968464.47999996</v>
          </cell>
        </row>
        <row r="193">
          <cell r="C193" t="str">
            <v>FINANCE COST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25254</v>
          </cell>
          <cell r="E196">
            <v>25254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</row>
        <row r="208">
          <cell r="B208">
            <v>9300</v>
          </cell>
          <cell r="C208" t="str">
            <v>Deferred Tax Expense / (Income) - Net</v>
          </cell>
          <cell r="D208">
            <v>0</v>
          </cell>
          <cell r="E208">
            <v>0</v>
          </cell>
        </row>
        <row r="209">
          <cell r="C209" t="str">
            <v>FINANCE COST - SUB TOTAL</v>
          </cell>
          <cell r="D209">
            <v>25254</v>
          </cell>
          <cell r="E209">
            <v>25254</v>
          </cell>
        </row>
      </sheetData>
      <sheetData sheetId="63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722332097.53999996</v>
          </cell>
          <cell r="E11">
            <v>722332097.53999996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863912741.95000005</v>
          </cell>
          <cell r="E13">
            <v>863912741.95000005</v>
          </cell>
        </row>
        <row r="14">
          <cell r="B14">
            <v>1125</v>
          </cell>
          <cell r="C14" t="str">
            <v>Fixed charges on Electricity Bills</v>
          </cell>
          <cell r="D14">
            <v>99406965</v>
          </cell>
          <cell r="E14">
            <v>99406965</v>
          </cell>
        </row>
        <row r="15">
          <cell r="B15">
            <v>1200</v>
          </cell>
          <cell r="C15" t="str">
            <v>Fuel Surcharge Account</v>
          </cell>
          <cell r="D15">
            <v>254749537.02000001</v>
          </cell>
          <cell r="E15">
            <v>254749537.02000001</v>
          </cell>
        </row>
        <row r="16">
          <cell r="C16" t="str">
            <v>SUB TOTAL OF TURNOVER</v>
          </cell>
          <cell r="D16">
            <v>1940401341.51</v>
          </cell>
          <cell r="E16">
            <v>1940401341.51</v>
          </cell>
        </row>
        <row r="17">
          <cell r="C17" t="str">
            <v xml:space="preserve"> INTEREST INCOME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1305849.24</v>
          </cell>
          <cell r="E19">
            <v>1305849.24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C21" t="str">
            <v>SUB TOTAL OF INTEREST INCOME</v>
          </cell>
          <cell r="D21">
            <v>1305849.24</v>
          </cell>
          <cell r="E21">
            <v>1305849.24</v>
          </cell>
        </row>
        <row r="22">
          <cell r="C22" t="str">
            <v>DIVIDEND INCOME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</row>
        <row r="24">
          <cell r="C24" t="str">
            <v>SUB TOTAL OF DIVIDEND INCOME</v>
          </cell>
          <cell r="D24">
            <v>0</v>
          </cell>
          <cell r="E24">
            <v>0</v>
          </cell>
        </row>
        <row r="25">
          <cell r="C25" t="str">
            <v xml:space="preserve"> OVERHEAD RECOVERIES</v>
          </cell>
        </row>
        <row r="26">
          <cell r="B26">
            <v>1330</v>
          </cell>
          <cell r="C26" t="str">
            <v>Overhead Recoveries Account</v>
          </cell>
          <cell r="D26">
            <v>18728262.530000001</v>
          </cell>
          <cell r="E26">
            <v>18728262.530000001</v>
          </cell>
        </row>
        <row r="27">
          <cell r="B27">
            <v>1510</v>
          </cell>
          <cell r="C27" t="str">
            <v>Recoveries on House Rent Account</v>
          </cell>
          <cell r="D27">
            <v>336106.11</v>
          </cell>
          <cell r="E27">
            <v>336106.11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</row>
        <row r="32">
          <cell r="C32" t="str">
            <v>SUB TOTAL OF OVERHEAD RECOVERIES</v>
          </cell>
          <cell r="D32">
            <v>19064368.640000001</v>
          </cell>
          <cell r="E32">
            <v>19064368.640000001</v>
          </cell>
        </row>
        <row r="33">
          <cell r="C33" t="str">
            <v xml:space="preserve"> PROFIT / LOSS ON DISPOSAl OF PPE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110200</v>
          </cell>
          <cell r="E35">
            <v>110200</v>
          </cell>
        </row>
        <row r="36">
          <cell r="C36" t="str">
            <v>SUB TOTAL OF PROFIT / LOSS ON DISPOSAl OF PPE</v>
          </cell>
          <cell r="D36">
            <v>110200</v>
          </cell>
          <cell r="E36">
            <v>110200</v>
          </cell>
        </row>
        <row r="37">
          <cell r="C37" t="str">
            <v xml:space="preserve"> MISSELANIOUS INCOME</v>
          </cell>
        </row>
        <row r="38">
          <cell r="B38">
            <v>1130</v>
          </cell>
          <cell r="C38" t="str">
            <v>Surcharge on Electricity Bills Account</v>
          </cell>
          <cell r="D38">
            <v>24038702.460000001</v>
          </cell>
          <cell r="E38">
            <v>24038702.460000001</v>
          </cell>
        </row>
        <row r="39">
          <cell r="B39">
            <v>1300</v>
          </cell>
          <cell r="C39" t="str">
            <v>Miscellaneous Income Account</v>
          </cell>
          <cell r="D39">
            <v>1381856.65</v>
          </cell>
          <cell r="E39">
            <v>1381856.65</v>
          </cell>
        </row>
        <row r="40">
          <cell r="B40">
            <v>1305</v>
          </cell>
          <cell r="C40" t="str">
            <v>Samurdhi Loan Interest  Account</v>
          </cell>
          <cell r="D40">
            <v>1746776.75</v>
          </cell>
          <cell r="E40">
            <v>1746776.75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3601537.31</v>
          </cell>
          <cell r="E42">
            <v>3601537.31</v>
          </cell>
        </row>
        <row r="43">
          <cell r="B43">
            <v>1320</v>
          </cell>
          <cell r="C43" t="str">
            <v>Re-usable Material Account</v>
          </cell>
          <cell r="D43">
            <v>478195</v>
          </cell>
          <cell r="E43">
            <v>478195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3681336.25</v>
          </cell>
          <cell r="E45">
            <v>3681336.25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0</v>
          </cell>
          <cell r="E46">
            <v>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24025</v>
          </cell>
          <cell r="E47">
            <v>24025</v>
          </cell>
        </row>
        <row r="48">
          <cell r="B48">
            <v>1370</v>
          </cell>
          <cell r="C48" t="str">
            <v>Income on Cost Recovery Jobs Account</v>
          </cell>
          <cell r="D48">
            <v>2203706.2000000002</v>
          </cell>
          <cell r="E48">
            <v>2203706.2000000002</v>
          </cell>
        </row>
        <row r="49">
          <cell r="B49">
            <v>1380</v>
          </cell>
          <cell r="C49" t="str">
            <v>Service Main Application Fee Account</v>
          </cell>
          <cell r="D49">
            <v>1096930</v>
          </cell>
          <cell r="E49">
            <v>1096930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C52" t="str">
            <v>SUB TOTAL OF MISSELANIOUS INCOME</v>
          </cell>
          <cell r="D52">
            <v>38253065.620000005</v>
          </cell>
          <cell r="E52">
            <v>38253065.620000005</v>
          </cell>
        </row>
        <row r="53">
          <cell r="C53" t="str">
            <v>TOTAL INCOME</v>
          </cell>
          <cell r="D53">
            <v>1999134825.01</v>
          </cell>
          <cell r="E53">
            <v>1999134825.01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D55">
            <v>1576600</v>
          </cell>
          <cell r="E55">
            <v>1576600</v>
          </cell>
        </row>
        <row r="56">
          <cell r="B56">
            <v>2110</v>
          </cell>
          <cell r="C56" t="str">
            <v>Management Staff Allowances Account</v>
          </cell>
          <cell r="D56">
            <v>721286.34</v>
          </cell>
          <cell r="E56">
            <v>721286.34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31664913.559999999</v>
          </cell>
          <cell r="E58">
            <v>31664913.559999999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14421528.4</v>
          </cell>
          <cell r="E60">
            <v>14421528.4</v>
          </cell>
        </row>
        <row r="61">
          <cell r="B61">
            <v>2310</v>
          </cell>
          <cell r="C61" t="str">
            <v>Other Staff Allowances Account</v>
          </cell>
          <cell r="D61">
            <v>1632505.04</v>
          </cell>
          <cell r="E61">
            <v>1632505.04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31488792.740000002</v>
          </cell>
          <cell r="E64">
            <v>31488792.740000002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12004266</v>
          </cell>
          <cell r="E67">
            <v>12004266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</row>
        <row r="69">
          <cell r="B69">
            <v>2340</v>
          </cell>
          <cell r="C69" t="str">
            <v>Labor Rate Variance Account</v>
          </cell>
          <cell r="D69">
            <v>-13447470.640000001</v>
          </cell>
          <cell r="E69">
            <v>-13447470.640000001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182723.65</v>
          </cell>
          <cell r="E70">
            <v>182723.65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3154695.89</v>
          </cell>
          <cell r="E71">
            <v>3154695.89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4998741.6500000004</v>
          </cell>
          <cell r="E73">
            <v>4998741.6500000004</v>
          </cell>
        </row>
        <row r="74">
          <cell r="B74">
            <v>2510</v>
          </cell>
          <cell r="C74" t="str">
            <v>Incentive for Meter Readers Account</v>
          </cell>
          <cell r="D74">
            <v>98800</v>
          </cell>
          <cell r="E74">
            <v>98800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3877462.94</v>
          </cell>
          <cell r="E76">
            <v>3877462.94</v>
          </cell>
        </row>
        <row r="77">
          <cell r="B77">
            <v>2540</v>
          </cell>
          <cell r="C77" t="str">
            <v>Allowances to Trainees Account</v>
          </cell>
          <cell r="D77">
            <v>801375</v>
          </cell>
          <cell r="E77">
            <v>801375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0</v>
          </cell>
          <cell r="E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30790</v>
          </cell>
          <cell r="E82">
            <v>30790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32832.660000000003</v>
          </cell>
          <cell r="E84">
            <v>32832.660000000003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1170</v>
          </cell>
          <cell r="E87">
            <v>1170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2403613.34</v>
          </cell>
          <cell r="E89">
            <v>2403613.34</v>
          </cell>
        </row>
        <row r="90">
          <cell r="B90">
            <v>2641</v>
          </cell>
          <cell r="C90" t="str">
            <v>Medical Expenses  - Out door Account</v>
          </cell>
          <cell r="D90">
            <v>1890732.44</v>
          </cell>
          <cell r="E90">
            <v>1890732.44</v>
          </cell>
        </row>
        <row r="91">
          <cell r="B91">
            <v>2650</v>
          </cell>
          <cell r="C91" t="str">
            <v>Uniforms &amp; Protective Clothing Account</v>
          </cell>
          <cell r="D91">
            <v>1243880</v>
          </cell>
          <cell r="E91">
            <v>1243880</v>
          </cell>
        </row>
        <row r="92">
          <cell r="B92">
            <v>2660</v>
          </cell>
          <cell r="C92" t="str">
            <v>Reimbursement of loan Interest Account</v>
          </cell>
          <cell r="D92">
            <v>3707307.52</v>
          </cell>
          <cell r="E92">
            <v>3707307.52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0</v>
          </cell>
        </row>
        <row r="94">
          <cell r="B94">
            <v>2680</v>
          </cell>
          <cell r="C94" t="str">
            <v>CEB Pension Fund Account</v>
          </cell>
          <cell r="D94">
            <v>4715524.5999999996</v>
          </cell>
          <cell r="E94">
            <v>4715524.5999999996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1810379.27</v>
          </cell>
          <cell r="E96">
            <v>1810379.27</v>
          </cell>
        </row>
        <row r="97">
          <cell r="B97">
            <v>2710</v>
          </cell>
          <cell r="C97" t="str">
            <v>CEB Provident Fund Account</v>
          </cell>
          <cell r="D97">
            <v>8842815.8699999992</v>
          </cell>
          <cell r="E97">
            <v>8842815.8699999992</v>
          </cell>
        </row>
        <row r="98">
          <cell r="C98" t="str">
            <v>personel cost on pension fund</v>
          </cell>
          <cell r="D98">
            <v>0</v>
          </cell>
          <cell r="E98">
            <v>0</v>
          </cell>
        </row>
        <row r="99">
          <cell r="C99" t="str">
            <v>PERSONNEL EXPENSES - SUB TOTAL</v>
          </cell>
          <cell r="D99">
            <v>117855266.27</v>
          </cell>
          <cell r="E99">
            <v>117855266.27</v>
          </cell>
        </row>
        <row r="100">
          <cell r="C100" t="str">
            <v xml:space="preserve"> MATERIAL COST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1322718762.6199999</v>
          </cell>
          <cell r="E104">
            <v>1322718762.6199999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39170515.140000001</v>
          </cell>
          <cell r="E110">
            <v>39170515.140000001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</row>
        <row r="115">
          <cell r="B115">
            <v>3212</v>
          </cell>
          <cell r="C115" t="str">
            <v>Expenses on Tug Boats and Barges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0</v>
          </cell>
        </row>
        <row r="119">
          <cell r="B119">
            <v>3300</v>
          </cell>
          <cell r="C119" t="str">
            <v>Loose Tools Account</v>
          </cell>
          <cell r="D119">
            <v>2618360</v>
          </cell>
          <cell r="E119">
            <v>2618360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2487863.12</v>
          </cell>
          <cell r="E122">
            <v>2487863.12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-67240.63</v>
          </cell>
          <cell r="E123">
            <v>-67240.63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C125" t="str">
            <v>MATERIAL COST - SUB TOTAL</v>
          </cell>
          <cell r="D125">
            <v>1366928260.2499998</v>
          </cell>
          <cell r="E125">
            <v>1366928260.2499998</v>
          </cell>
        </row>
        <row r="126">
          <cell r="C126" t="str">
            <v>ACCOMMODATION EXPENSES</v>
          </cell>
        </row>
        <row r="127">
          <cell r="B127">
            <v>4100</v>
          </cell>
          <cell r="C127" t="str">
            <v>Housing Rent and Rates Account</v>
          </cell>
          <cell r="D127">
            <v>886275.72</v>
          </cell>
          <cell r="E127">
            <v>886275.72</v>
          </cell>
        </row>
        <row r="128">
          <cell r="B128">
            <v>4110</v>
          </cell>
          <cell r="C128" t="str">
            <v>Building Maintenance Account</v>
          </cell>
          <cell r="D128">
            <v>2145340.71</v>
          </cell>
          <cell r="E128">
            <v>2145340.71</v>
          </cell>
        </row>
        <row r="129">
          <cell r="B129">
            <v>4120</v>
          </cell>
          <cell r="C129" t="str">
            <v>Circuit Bungalow Maintenance Account</v>
          </cell>
          <cell r="D129">
            <v>1607871.9</v>
          </cell>
          <cell r="E129">
            <v>1607871.9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20790</v>
          </cell>
          <cell r="E130">
            <v>20790</v>
          </cell>
        </row>
        <row r="131">
          <cell r="B131">
            <v>4300</v>
          </cell>
          <cell r="C131" t="str">
            <v>Electricity  Consumption Account</v>
          </cell>
          <cell r="D131">
            <v>1899643.05</v>
          </cell>
          <cell r="E131">
            <v>1899643.05</v>
          </cell>
        </row>
        <row r="132">
          <cell r="B132">
            <v>4400</v>
          </cell>
          <cell r="C132" t="str">
            <v>Water Supply Charges Account</v>
          </cell>
          <cell r="D132">
            <v>679865.81</v>
          </cell>
          <cell r="E132">
            <v>679865.81</v>
          </cell>
        </row>
        <row r="133">
          <cell r="C133" t="str">
            <v>ACCOMMODATION EXPENSES - SUB TOTAL</v>
          </cell>
          <cell r="D133">
            <v>7239787.1899999995</v>
          </cell>
          <cell r="E133">
            <v>7239787.1899999995</v>
          </cell>
        </row>
        <row r="134">
          <cell r="C134" t="str">
            <v>TRANSPORT &amp; COMMUNICATION EXPENSES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3618253</v>
          </cell>
          <cell r="E135">
            <v>3618253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6044583.4500000002</v>
          </cell>
          <cell r="E137">
            <v>6044583.4500000002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10756281.93</v>
          </cell>
          <cell r="E138">
            <v>10756281.93</v>
          </cell>
        </row>
        <row r="139">
          <cell r="B139">
            <v>5220</v>
          </cell>
          <cell r="C139" t="str">
            <v>Vehicle Hire Charges Account</v>
          </cell>
          <cell r="D139">
            <v>12464854.91</v>
          </cell>
          <cell r="E139">
            <v>12464854.91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2155161.69</v>
          </cell>
          <cell r="E141">
            <v>2155161.69</v>
          </cell>
        </row>
        <row r="142">
          <cell r="B142">
            <v>5310</v>
          </cell>
          <cell r="C142" t="str">
            <v>Postage Account</v>
          </cell>
          <cell r="D142">
            <v>109330</v>
          </cell>
          <cell r="E142">
            <v>109330</v>
          </cell>
        </row>
        <row r="143">
          <cell r="B143">
            <v>5320</v>
          </cell>
          <cell r="C143" t="str">
            <v>Telecommunications Account</v>
          </cell>
          <cell r="D143">
            <v>736683.82</v>
          </cell>
          <cell r="E143">
            <v>736683.82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</v>
          </cell>
          <cell r="D145">
            <v>237385.7</v>
          </cell>
          <cell r="E145">
            <v>237385.7</v>
          </cell>
        </row>
        <row r="146">
          <cell r="B146">
            <v>5323</v>
          </cell>
          <cell r="C146" t="str">
            <v>Expenses on Software licenses and  maintenance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D147">
            <v>0</v>
          </cell>
          <cell r="E147">
            <v>0</v>
          </cell>
        </row>
        <row r="148">
          <cell r="C148" t="str">
            <v>TRANSPORT &amp; COMMUNICATION EXP. - SUB TOTAL</v>
          </cell>
          <cell r="D148">
            <v>36122534.5</v>
          </cell>
          <cell r="E148">
            <v>36122534.5</v>
          </cell>
        </row>
        <row r="149">
          <cell r="C149" t="str">
            <v xml:space="preserve"> DEPRECIATION</v>
          </cell>
        </row>
        <row r="150">
          <cell r="B150">
            <v>6000</v>
          </cell>
          <cell r="C150" t="str">
            <v>Depreciation Account</v>
          </cell>
          <cell r="D150">
            <v>0</v>
          </cell>
          <cell r="E150">
            <v>0</v>
          </cell>
        </row>
        <row r="151">
          <cell r="C151" t="str">
            <v>DEPRECIATION - SUB TOTAL</v>
          </cell>
          <cell r="D151">
            <v>0</v>
          </cell>
          <cell r="E151">
            <v>0</v>
          </cell>
        </row>
        <row r="152">
          <cell r="C152" t="str">
            <v xml:space="preserve"> OTHER EXPENSES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3519806.93</v>
          </cell>
          <cell r="E154">
            <v>3519806.93</v>
          </cell>
        </row>
        <row r="155">
          <cell r="B155">
            <v>7211</v>
          </cell>
          <cell r="C155" t="str">
            <v>Payment to Manpower Agencies Account</v>
          </cell>
          <cell r="D155">
            <v>38313858.899999999</v>
          </cell>
          <cell r="E155">
            <v>38313858.899999999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193598</v>
          </cell>
          <cell r="E168">
            <v>193598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</row>
        <row r="170">
          <cell r="B170">
            <v>7510</v>
          </cell>
          <cell r="C170" t="str">
            <v>Entertainment Account</v>
          </cell>
          <cell r="D170">
            <v>46330.9</v>
          </cell>
          <cell r="E170">
            <v>46330.9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413800</v>
          </cell>
          <cell r="E172">
            <v>413800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487500</v>
          </cell>
          <cell r="E176">
            <v>487500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409244880.55000001</v>
          </cell>
          <cell r="E179">
            <v>409244880.55000001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334392.84999999998</v>
          </cell>
          <cell r="E182">
            <v>334392.84999999998</v>
          </cell>
        </row>
        <row r="183">
          <cell r="B183">
            <v>7810</v>
          </cell>
          <cell r="C183" t="str">
            <v>Compensation to Third Parties Account</v>
          </cell>
          <cell r="D183">
            <v>20520</v>
          </cell>
          <cell r="E183">
            <v>20520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511824.89</v>
          </cell>
          <cell r="E184">
            <v>511824.89</v>
          </cell>
        </row>
        <row r="185">
          <cell r="B185">
            <v>7830</v>
          </cell>
          <cell r="C185" t="str">
            <v>Way Leaves Account</v>
          </cell>
          <cell r="D185">
            <v>15883811.35</v>
          </cell>
          <cell r="E185">
            <v>15883811.35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78540</v>
          </cell>
          <cell r="E186">
            <v>78540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1908866.21</v>
          </cell>
          <cell r="E188">
            <v>1908866.21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>Expenses on Cost Recovery Traning</v>
          </cell>
          <cell r="D191">
            <v>0</v>
          </cell>
          <cell r="E191">
            <v>0</v>
          </cell>
        </row>
        <row r="192">
          <cell r="C192" t="str">
            <v>OTHER EXPENSES - SUB TOTAL</v>
          </cell>
          <cell r="D192">
            <v>470957730.58000004</v>
          </cell>
          <cell r="E192">
            <v>470957730.58000004</v>
          </cell>
        </row>
        <row r="193">
          <cell r="C193" t="str">
            <v>FINANCE COST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31246.22</v>
          </cell>
          <cell r="E196">
            <v>31246.22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</row>
        <row r="208">
          <cell r="B208">
            <v>9300</v>
          </cell>
          <cell r="C208" t="str">
            <v>Deferred Tax Expense / (Income) - Net</v>
          </cell>
          <cell r="D208">
            <v>0</v>
          </cell>
          <cell r="E208">
            <v>0</v>
          </cell>
        </row>
        <row r="209">
          <cell r="C209" t="str">
            <v>FINANCE COST - SUB TOTAL</v>
          </cell>
          <cell r="D209">
            <v>31246.22</v>
          </cell>
          <cell r="E209">
            <v>31246.22</v>
          </cell>
        </row>
      </sheetData>
      <sheetData sheetId="64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576438304.52999997</v>
          </cell>
          <cell r="E11">
            <v>576438304.52999997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824486066.70000005</v>
          </cell>
          <cell r="E13">
            <v>824486066.70000005</v>
          </cell>
        </row>
        <row r="14">
          <cell r="B14">
            <v>1125</v>
          </cell>
          <cell r="C14" t="str">
            <v>Fixed charges on Electricity Bills</v>
          </cell>
          <cell r="D14">
            <v>113511855</v>
          </cell>
          <cell r="E14">
            <v>113511855</v>
          </cell>
        </row>
        <row r="15">
          <cell r="B15">
            <v>1200</v>
          </cell>
          <cell r="C15" t="str">
            <v>Fuel Surcharge Account</v>
          </cell>
          <cell r="D15">
            <v>223444004.90000001</v>
          </cell>
          <cell r="E15">
            <v>223444004.90000001</v>
          </cell>
        </row>
        <row r="16">
          <cell r="C16" t="str">
            <v>SUB TOTAL OF TURNOVER</v>
          </cell>
          <cell r="D16">
            <v>1737880231.1300001</v>
          </cell>
          <cell r="E16">
            <v>1737880231.1300001</v>
          </cell>
        </row>
        <row r="17">
          <cell r="C17" t="str">
            <v xml:space="preserve"> INTEREST INCOME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1339075.8</v>
          </cell>
          <cell r="E19">
            <v>1339075.8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C21" t="str">
            <v>SUB TOTAL OF INTEREST INCOME</v>
          </cell>
          <cell r="D21">
            <v>1339075.8</v>
          </cell>
          <cell r="E21">
            <v>1339075.8</v>
          </cell>
        </row>
        <row r="22">
          <cell r="C22" t="str">
            <v>DIVIDEND INCOME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</row>
        <row r="24">
          <cell r="C24" t="str">
            <v>SUB TOTAL OF DIVIDEND INCOME</v>
          </cell>
          <cell r="D24">
            <v>0</v>
          </cell>
          <cell r="E24">
            <v>0</v>
          </cell>
        </row>
        <row r="25">
          <cell r="C25" t="str">
            <v xml:space="preserve"> OVERHEAD RECOVERIES</v>
          </cell>
        </row>
        <row r="26">
          <cell r="B26">
            <v>1330</v>
          </cell>
          <cell r="C26" t="str">
            <v>Overhead Recoveries Account</v>
          </cell>
          <cell r="D26">
            <v>12817553.060000001</v>
          </cell>
          <cell r="E26">
            <v>12817553.060000001</v>
          </cell>
        </row>
        <row r="27">
          <cell r="B27">
            <v>1510</v>
          </cell>
          <cell r="C27" t="str">
            <v>Recoveries on House Rent Account</v>
          </cell>
          <cell r="D27">
            <v>39795</v>
          </cell>
          <cell r="E27">
            <v>39795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</row>
        <row r="32">
          <cell r="C32" t="str">
            <v>SUB TOTAL OF OVERHEAD RECOVERIES</v>
          </cell>
          <cell r="D32">
            <v>12857348.060000001</v>
          </cell>
          <cell r="E32">
            <v>12857348.060000001</v>
          </cell>
        </row>
        <row r="33">
          <cell r="C33" t="str">
            <v xml:space="preserve"> PROFIT / LOSS ON DISPOSAl OF PPE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3136</v>
          </cell>
          <cell r="E35">
            <v>3136</v>
          </cell>
        </row>
        <row r="36">
          <cell r="C36" t="str">
            <v>SUB TOTAL OF PROFIT / LOSS ON DISPOSAl OF PPE</v>
          </cell>
          <cell r="D36">
            <v>3136</v>
          </cell>
          <cell r="E36">
            <v>3136</v>
          </cell>
        </row>
        <row r="37">
          <cell r="C37" t="str">
            <v xml:space="preserve"> MISSELANIOUS INCOME</v>
          </cell>
        </row>
        <row r="38">
          <cell r="B38">
            <v>1130</v>
          </cell>
          <cell r="C38" t="str">
            <v>Surcharge on Electricity Bills Account</v>
          </cell>
          <cell r="D38">
            <v>6669894.6299999999</v>
          </cell>
          <cell r="E38">
            <v>6669894.6299999999</v>
          </cell>
        </row>
        <row r="39">
          <cell r="B39">
            <v>1300</v>
          </cell>
          <cell r="C39" t="str">
            <v>Miscellaneous Income Account</v>
          </cell>
          <cell r="D39">
            <v>10318267.51</v>
          </cell>
          <cell r="E39">
            <v>10318267.51</v>
          </cell>
        </row>
        <row r="40">
          <cell r="B40">
            <v>1305</v>
          </cell>
          <cell r="C40" t="str">
            <v>Samurdhi Loan Interest  Account</v>
          </cell>
          <cell r="D40">
            <v>869271.31</v>
          </cell>
          <cell r="E40">
            <v>869271.31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513271.44</v>
          </cell>
          <cell r="E42">
            <v>513271.44</v>
          </cell>
        </row>
        <row r="43">
          <cell r="B43">
            <v>1320</v>
          </cell>
          <cell r="C43" t="str">
            <v>Re-usable Material Account</v>
          </cell>
          <cell r="D43">
            <v>60220</v>
          </cell>
          <cell r="E43">
            <v>60220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4579913.6399999997</v>
          </cell>
          <cell r="E45">
            <v>4579913.6399999997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39713</v>
          </cell>
          <cell r="E46">
            <v>39713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</row>
        <row r="48">
          <cell r="B48">
            <v>1370</v>
          </cell>
          <cell r="C48" t="str">
            <v>Income on Cost Recovery Jobs Account</v>
          </cell>
          <cell r="D48">
            <v>4440516.43</v>
          </cell>
          <cell r="E48">
            <v>4440516.43</v>
          </cell>
        </row>
        <row r="49">
          <cell r="B49">
            <v>1380</v>
          </cell>
          <cell r="C49" t="str">
            <v>Service Main Application Fee Account</v>
          </cell>
          <cell r="D49">
            <v>646500</v>
          </cell>
          <cell r="E49">
            <v>646500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C52" t="str">
            <v>SUB TOTAL OF MISSELANIOUS INCOME</v>
          </cell>
          <cell r="D52">
            <v>28137567.960000001</v>
          </cell>
          <cell r="E52">
            <v>28137567.960000001</v>
          </cell>
        </row>
        <row r="53">
          <cell r="C53" t="str">
            <v>TOTAL INCOME</v>
          </cell>
          <cell r="D53">
            <v>1780217358.95</v>
          </cell>
          <cell r="E53">
            <v>1780217358.95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D55">
            <v>2890093.87</v>
          </cell>
          <cell r="E55">
            <v>2890093.87</v>
          </cell>
        </row>
        <row r="56">
          <cell r="B56">
            <v>2110</v>
          </cell>
          <cell r="C56" t="str">
            <v>Management Staff Allowances Account</v>
          </cell>
          <cell r="D56">
            <v>869488.19</v>
          </cell>
          <cell r="E56">
            <v>869488.19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32160204.690000001</v>
          </cell>
          <cell r="E58">
            <v>32160204.690000001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16212098.59</v>
          </cell>
          <cell r="E60">
            <v>16212098.59</v>
          </cell>
        </row>
        <row r="61">
          <cell r="B61">
            <v>2310</v>
          </cell>
          <cell r="C61" t="str">
            <v>Other Staff Allowances Account</v>
          </cell>
          <cell r="D61">
            <v>1490177.93</v>
          </cell>
          <cell r="E61">
            <v>1490177.93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24125230.68</v>
          </cell>
          <cell r="E64">
            <v>24125230.68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10799182</v>
          </cell>
          <cell r="E67">
            <v>10799182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</row>
        <row r="69">
          <cell r="B69">
            <v>2340</v>
          </cell>
          <cell r="C69" t="str">
            <v>Labor Rate Variance Account</v>
          </cell>
          <cell r="D69">
            <v>-8465425.7200000007</v>
          </cell>
          <cell r="E69">
            <v>-8465425.7200000007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122632.45</v>
          </cell>
          <cell r="E70">
            <v>122632.45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4930985.63</v>
          </cell>
          <cell r="E71">
            <v>4930985.63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4942022.79</v>
          </cell>
          <cell r="E73">
            <v>4942022.79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4076419.26</v>
          </cell>
          <cell r="E76">
            <v>4076419.26</v>
          </cell>
        </row>
        <row r="77">
          <cell r="B77">
            <v>2540</v>
          </cell>
          <cell r="C77" t="str">
            <v>Allowances to Trainees Account</v>
          </cell>
          <cell r="D77">
            <v>644400</v>
          </cell>
          <cell r="E77">
            <v>644400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0</v>
          </cell>
          <cell r="E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9830</v>
          </cell>
          <cell r="E82">
            <v>9830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4480</v>
          </cell>
          <cell r="E84">
            <v>4480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6340</v>
          </cell>
          <cell r="E87">
            <v>6340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2473261.1800000002</v>
          </cell>
          <cell r="E89">
            <v>2473261.1800000002</v>
          </cell>
        </row>
        <row r="90">
          <cell r="B90">
            <v>2641</v>
          </cell>
          <cell r="C90" t="str">
            <v>Medical Expenses  - Out door Account</v>
          </cell>
          <cell r="D90">
            <v>1602334</v>
          </cell>
          <cell r="E90">
            <v>1602334</v>
          </cell>
        </row>
        <row r="91">
          <cell r="B91">
            <v>2650</v>
          </cell>
          <cell r="C91" t="str">
            <v>Uniforms &amp; Protective Clothing Account</v>
          </cell>
          <cell r="D91">
            <v>1154833.5</v>
          </cell>
          <cell r="E91">
            <v>1154833.5</v>
          </cell>
        </row>
        <row r="92">
          <cell r="B92">
            <v>2660</v>
          </cell>
          <cell r="C92" t="str">
            <v>Reimbursement of loan Interest Account</v>
          </cell>
          <cell r="D92">
            <v>8861301.6699999999</v>
          </cell>
          <cell r="E92">
            <v>8861301.6699999999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0</v>
          </cell>
        </row>
        <row r="94">
          <cell r="B94">
            <v>2680</v>
          </cell>
          <cell r="C94" t="str">
            <v>CEB Pension Fund Account</v>
          </cell>
          <cell r="D94">
            <v>4713318.16</v>
          </cell>
          <cell r="E94">
            <v>4713318.16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1769606.59</v>
          </cell>
          <cell r="E96">
            <v>1769606.59</v>
          </cell>
        </row>
        <row r="97">
          <cell r="B97">
            <v>2710</v>
          </cell>
          <cell r="C97" t="str">
            <v>CEB Provident Fund Account</v>
          </cell>
          <cell r="D97">
            <v>8851021.8200000003</v>
          </cell>
          <cell r="E97">
            <v>8851021.8200000003</v>
          </cell>
        </row>
        <row r="98">
          <cell r="C98" t="str">
            <v>personel cost on pension fund</v>
          </cell>
          <cell r="D98">
            <v>0</v>
          </cell>
          <cell r="E98">
            <v>0</v>
          </cell>
        </row>
        <row r="99">
          <cell r="C99" t="str">
            <v>PERSONNEL EXPENSES - SUB TOTAL</v>
          </cell>
          <cell r="D99">
            <v>124243837.28000003</v>
          </cell>
          <cell r="E99">
            <v>124243837.28000003</v>
          </cell>
        </row>
        <row r="100">
          <cell r="C100" t="str">
            <v xml:space="preserve"> MATERIAL COST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1633140494.0599999</v>
          </cell>
          <cell r="E104">
            <v>1633140494.0599999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50510279.210000001</v>
          </cell>
          <cell r="E110">
            <v>50510279.210000001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</row>
        <row r="115">
          <cell r="B115">
            <v>3212</v>
          </cell>
          <cell r="C115" t="str">
            <v>Expenses on Tug Boats and Barges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0</v>
          </cell>
        </row>
        <row r="119">
          <cell r="B119">
            <v>3300</v>
          </cell>
          <cell r="C119" t="str">
            <v>Loose Tools Account</v>
          </cell>
          <cell r="D119">
            <v>610193.29</v>
          </cell>
          <cell r="E119">
            <v>610193.29</v>
          </cell>
        </row>
        <row r="120">
          <cell r="B120">
            <v>3410</v>
          </cell>
          <cell r="C120" t="str">
            <v>Stores Discrepancies Account</v>
          </cell>
          <cell r="D120">
            <v>-27532.5</v>
          </cell>
          <cell r="E120">
            <v>-27532.5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1989143.55</v>
          </cell>
          <cell r="E122">
            <v>1989143.55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254811.86</v>
          </cell>
          <cell r="E123">
            <v>254811.86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C125" t="str">
            <v>MATERIAL COST - SUB TOTAL</v>
          </cell>
          <cell r="D125">
            <v>1686477389.4699998</v>
          </cell>
          <cell r="E125">
            <v>1686477389.4699998</v>
          </cell>
        </row>
        <row r="126">
          <cell r="C126" t="str">
            <v>ACCOMMODATION EXPENSES</v>
          </cell>
        </row>
        <row r="127">
          <cell r="B127">
            <v>4100</v>
          </cell>
          <cell r="C127" t="str">
            <v>Housing Rent and Rates Account</v>
          </cell>
          <cell r="D127">
            <v>551154.52</v>
          </cell>
          <cell r="E127">
            <v>551154.52</v>
          </cell>
        </row>
        <row r="128">
          <cell r="B128">
            <v>4110</v>
          </cell>
          <cell r="C128" t="str">
            <v>Building Maintenance Account</v>
          </cell>
          <cell r="D128">
            <v>4733489.42</v>
          </cell>
          <cell r="E128">
            <v>4733489.42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749369.99</v>
          </cell>
          <cell r="E130">
            <v>749369.99</v>
          </cell>
        </row>
        <row r="131">
          <cell r="B131">
            <v>4300</v>
          </cell>
          <cell r="C131" t="str">
            <v>Electricity  Consumption Account</v>
          </cell>
          <cell r="D131">
            <v>771543.94</v>
          </cell>
          <cell r="E131">
            <v>771543.94</v>
          </cell>
        </row>
        <row r="132">
          <cell r="B132">
            <v>4400</v>
          </cell>
          <cell r="C132" t="str">
            <v>Water Supply Charges Account</v>
          </cell>
          <cell r="D132">
            <v>306007.3</v>
          </cell>
          <cell r="E132">
            <v>306007.3</v>
          </cell>
        </row>
        <row r="133">
          <cell r="C133" t="str">
            <v>ACCOMMODATION EXPENSES - SUB TOTAL</v>
          </cell>
          <cell r="D133">
            <v>7111565.169999999</v>
          </cell>
          <cell r="E133">
            <v>7111565.169999999</v>
          </cell>
        </row>
        <row r="134">
          <cell r="C134" t="str">
            <v>TRANSPORT &amp; COMMUNICATION EXPENSES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3429448.44</v>
          </cell>
          <cell r="E135">
            <v>3429448.44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5233191.43</v>
          </cell>
          <cell r="E137">
            <v>5233191.43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6579980.3700000001</v>
          </cell>
          <cell r="E138">
            <v>6579980.3700000001</v>
          </cell>
        </row>
        <row r="139">
          <cell r="B139">
            <v>5220</v>
          </cell>
          <cell r="C139" t="str">
            <v>Vehicle Hire Charges Account</v>
          </cell>
          <cell r="D139">
            <v>5557602.9299999997</v>
          </cell>
          <cell r="E139">
            <v>5557602.9299999997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1439798.28</v>
          </cell>
          <cell r="E141">
            <v>1439798.28</v>
          </cell>
        </row>
        <row r="142">
          <cell r="B142">
            <v>5310</v>
          </cell>
          <cell r="C142" t="str">
            <v>Postage Account</v>
          </cell>
          <cell r="D142">
            <v>128490</v>
          </cell>
          <cell r="E142">
            <v>128490</v>
          </cell>
        </row>
        <row r="143">
          <cell r="B143">
            <v>5320</v>
          </cell>
          <cell r="C143" t="str">
            <v>Telecommunications Account</v>
          </cell>
          <cell r="D143">
            <v>606525.17000000004</v>
          </cell>
          <cell r="E143">
            <v>606525.17000000004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</v>
          </cell>
          <cell r="D145">
            <v>146308.88</v>
          </cell>
          <cell r="E145">
            <v>146308.88</v>
          </cell>
        </row>
        <row r="146">
          <cell r="B146">
            <v>5323</v>
          </cell>
          <cell r="C146" t="str">
            <v>Expenses on Software licenses and  maintenance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D147">
            <v>0</v>
          </cell>
          <cell r="E147">
            <v>0</v>
          </cell>
        </row>
        <row r="148">
          <cell r="C148" t="str">
            <v>TRANSPORT &amp; COMMUNICATION EXP. - SUB TOTAL</v>
          </cell>
          <cell r="D148">
            <v>23121345.5</v>
          </cell>
          <cell r="E148">
            <v>23121345.5</v>
          </cell>
        </row>
        <row r="149">
          <cell r="C149" t="str">
            <v xml:space="preserve"> DEPRECIATION</v>
          </cell>
        </row>
        <row r="150">
          <cell r="B150">
            <v>6000</v>
          </cell>
          <cell r="C150" t="str">
            <v>Depreciation Account</v>
          </cell>
          <cell r="D150">
            <v>0</v>
          </cell>
          <cell r="E150">
            <v>0</v>
          </cell>
        </row>
        <row r="151">
          <cell r="C151" t="str">
            <v>DEPRECIATION - SUB TOTAL</v>
          </cell>
          <cell r="D151">
            <v>0</v>
          </cell>
          <cell r="E151">
            <v>0</v>
          </cell>
        </row>
        <row r="152">
          <cell r="C152" t="str">
            <v xml:space="preserve"> OTHER EXPENSES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3064957.59</v>
          </cell>
          <cell r="E154">
            <v>3064957.59</v>
          </cell>
        </row>
        <row r="155">
          <cell r="B155">
            <v>7211</v>
          </cell>
          <cell r="C155" t="str">
            <v>Payment to Manpower Agencies Account</v>
          </cell>
          <cell r="D155">
            <v>21951289.739999998</v>
          </cell>
          <cell r="E155">
            <v>21951289.739999998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38500</v>
          </cell>
          <cell r="E160">
            <v>38500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8733.75</v>
          </cell>
          <cell r="E168">
            <v>8733.75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</row>
        <row r="170">
          <cell r="B170">
            <v>7510</v>
          </cell>
          <cell r="C170" t="str">
            <v>Entertainment Account</v>
          </cell>
          <cell r="D170">
            <v>36879.550000000003</v>
          </cell>
          <cell r="E170">
            <v>36879.550000000003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953715.84</v>
          </cell>
          <cell r="E172">
            <v>953715.84</v>
          </cell>
        </row>
        <row r="173">
          <cell r="B173">
            <v>7600</v>
          </cell>
          <cell r="C173" t="str">
            <v>Insurance Premiums Account</v>
          </cell>
          <cell r="D173">
            <v>15138.11</v>
          </cell>
          <cell r="E173">
            <v>15138.11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825000</v>
          </cell>
          <cell r="E176">
            <v>825000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-97903269.700000003</v>
          </cell>
          <cell r="E179">
            <v>-97903269.700000003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93190.66</v>
          </cell>
          <cell r="E182">
            <v>93190.66</v>
          </cell>
        </row>
        <row r="183">
          <cell r="B183">
            <v>7810</v>
          </cell>
          <cell r="C183" t="str">
            <v>Compensation to Third Parties Account</v>
          </cell>
          <cell r="D183">
            <v>7525</v>
          </cell>
          <cell r="E183">
            <v>7525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174510.96</v>
          </cell>
          <cell r="E184">
            <v>174510.96</v>
          </cell>
        </row>
        <row r="185">
          <cell r="B185">
            <v>7830</v>
          </cell>
          <cell r="C185" t="str">
            <v>Way Leaves Account</v>
          </cell>
          <cell r="D185">
            <v>8879286.2799999993</v>
          </cell>
          <cell r="E185">
            <v>8879286.2799999993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66972</v>
          </cell>
          <cell r="E186">
            <v>66972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1033955.75</v>
          </cell>
          <cell r="E188">
            <v>1033955.75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>Expenses on Cost Recovery Traning</v>
          </cell>
          <cell r="D191">
            <v>0</v>
          </cell>
          <cell r="E191">
            <v>0</v>
          </cell>
        </row>
        <row r="192">
          <cell r="C192" t="str">
            <v>OTHER EXPENSES - SUB TOTAL</v>
          </cell>
          <cell r="D192">
            <v>-60753614.470000014</v>
          </cell>
          <cell r="E192">
            <v>-60753614.470000014</v>
          </cell>
        </row>
        <row r="193">
          <cell r="C193" t="str">
            <v>FINANCE COST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16836</v>
          </cell>
          <cell r="E196">
            <v>16836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</row>
        <row r="208">
          <cell r="B208">
            <v>9300</v>
          </cell>
          <cell r="C208" t="str">
            <v>Deferred Tax Expense / (Income) - Net</v>
          </cell>
          <cell r="D208">
            <v>0</v>
          </cell>
          <cell r="E208">
            <v>0</v>
          </cell>
        </row>
        <row r="209">
          <cell r="C209" t="str">
            <v>FINANCE COST - SUB TOTAL</v>
          </cell>
          <cell r="D209">
            <v>16836</v>
          </cell>
          <cell r="E209">
            <v>16836</v>
          </cell>
        </row>
      </sheetData>
      <sheetData sheetId="65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1146893788.4000001</v>
          </cell>
          <cell r="E11">
            <v>1146893788.4000001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848865816.76999998</v>
          </cell>
          <cell r="E13">
            <v>848865816.76999998</v>
          </cell>
        </row>
        <row r="14">
          <cell r="B14">
            <v>1125</v>
          </cell>
          <cell r="C14" t="str">
            <v>Fixed charges on Electricity Bills</v>
          </cell>
          <cell r="D14">
            <v>124712160</v>
          </cell>
          <cell r="E14">
            <v>124712160</v>
          </cell>
        </row>
        <row r="15">
          <cell r="B15">
            <v>1200</v>
          </cell>
          <cell r="C15" t="str">
            <v>Fuel Surcharge Account</v>
          </cell>
          <cell r="D15">
            <v>279230956.54000002</v>
          </cell>
          <cell r="E15">
            <v>279230956.54000002</v>
          </cell>
        </row>
        <row r="16">
          <cell r="C16" t="str">
            <v>SUB TOTAL OF TURNOVER</v>
          </cell>
          <cell r="D16">
            <v>2399702721.71</v>
          </cell>
          <cell r="E16">
            <v>2399702721.71</v>
          </cell>
        </row>
        <row r="17">
          <cell r="C17" t="str">
            <v xml:space="preserve"> INTEREST INCOME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1299838.26</v>
          </cell>
          <cell r="E19">
            <v>1299838.26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C21" t="str">
            <v>SUB TOTAL OF INTEREST INCOME</v>
          </cell>
          <cell r="D21">
            <v>1299838.26</v>
          </cell>
          <cell r="E21">
            <v>1299838.26</v>
          </cell>
        </row>
        <row r="22">
          <cell r="C22" t="str">
            <v>DIVIDEND INCOME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</row>
        <row r="24">
          <cell r="C24" t="str">
            <v>SUB TOTAL OF DIVIDEND INCOME</v>
          </cell>
          <cell r="D24">
            <v>0</v>
          </cell>
          <cell r="E24">
            <v>0</v>
          </cell>
        </row>
        <row r="25">
          <cell r="C25" t="str">
            <v xml:space="preserve"> OVERHEAD RECOVERIES</v>
          </cell>
        </row>
        <row r="26">
          <cell r="B26">
            <v>1330</v>
          </cell>
          <cell r="C26" t="str">
            <v>Overhead Recoveries Account</v>
          </cell>
          <cell r="D26">
            <v>14118211.050000001</v>
          </cell>
          <cell r="E26">
            <v>14118211.050000001</v>
          </cell>
        </row>
        <row r="27">
          <cell r="B27">
            <v>1510</v>
          </cell>
          <cell r="C27" t="str">
            <v>Recoveries on House Rent Account</v>
          </cell>
          <cell r="D27">
            <v>93912.15</v>
          </cell>
          <cell r="E27">
            <v>93912.15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</row>
        <row r="32">
          <cell r="C32" t="str">
            <v>SUB TOTAL OF OVERHEAD RECOVERIES</v>
          </cell>
          <cell r="D32">
            <v>14212123.200000001</v>
          </cell>
          <cell r="E32">
            <v>14212123.200000001</v>
          </cell>
        </row>
        <row r="33">
          <cell r="C33" t="str">
            <v xml:space="preserve"> PROFIT / LOSS ON DISPOSAl OF PPE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81151</v>
          </cell>
          <cell r="E35">
            <v>81151</v>
          </cell>
        </row>
        <row r="36">
          <cell r="C36" t="str">
            <v>SUB TOTAL OF PROFIT / LOSS ON DISPOSAl OF PPE</v>
          </cell>
          <cell r="D36">
            <v>81151</v>
          </cell>
          <cell r="E36">
            <v>81151</v>
          </cell>
        </row>
        <row r="37">
          <cell r="C37" t="str">
            <v xml:space="preserve"> MISSELANIOUS INCOME</v>
          </cell>
        </row>
        <row r="38">
          <cell r="B38">
            <v>1130</v>
          </cell>
          <cell r="C38" t="str">
            <v>Surcharge on Electricity Bills Account</v>
          </cell>
          <cell r="D38">
            <v>6319442.9500000002</v>
          </cell>
          <cell r="E38">
            <v>6319442.9500000002</v>
          </cell>
        </row>
        <row r="39">
          <cell r="B39">
            <v>1300</v>
          </cell>
          <cell r="C39" t="str">
            <v>Miscellaneous Income Account</v>
          </cell>
          <cell r="D39">
            <v>6164948.79</v>
          </cell>
          <cell r="E39">
            <v>6164948.79</v>
          </cell>
        </row>
        <row r="40">
          <cell r="B40">
            <v>1305</v>
          </cell>
          <cell r="C40" t="str">
            <v>Samurdhi Loan Interest  Account</v>
          </cell>
          <cell r="D40">
            <v>1784225.61</v>
          </cell>
          <cell r="E40">
            <v>1784225.61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880912.84</v>
          </cell>
          <cell r="E42">
            <v>880912.84</v>
          </cell>
        </row>
        <row r="43">
          <cell r="B43">
            <v>1320</v>
          </cell>
          <cell r="C43" t="str">
            <v>Re-usable Material Account</v>
          </cell>
          <cell r="D43">
            <v>0</v>
          </cell>
          <cell r="E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2347392.64</v>
          </cell>
          <cell r="E45">
            <v>2347392.64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4500</v>
          </cell>
          <cell r="E46">
            <v>4500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11363</v>
          </cell>
          <cell r="E47">
            <v>11363</v>
          </cell>
        </row>
        <row r="48">
          <cell r="B48">
            <v>1370</v>
          </cell>
          <cell r="C48" t="str">
            <v>Income on Cost Recovery Jobs Account</v>
          </cell>
          <cell r="D48">
            <v>59514.77</v>
          </cell>
          <cell r="E48">
            <v>59514.77</v>
          </cell>
        </row>
        <row r="49">
          <cell r="B49">
            <v>1380</v>
          </cell>
          <cell r="C49" t="str">
            <v>Service Main Application Fee Account</v>
          </cell>
          <cell r="D49">
            <v>1000000</v>
          </cell>
          <cell r="E49">
            <v>1000000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C52" t="str">
            <v>SUB TOTAL OF MISSELANIOUS INCOME</v>
          </cell>
          <cell r="D52">
            <v>18572300.599999998</v>
          </cell>
          <cell r="E52">
            <v>18572300.599999998</v>
          </cell>
        </row>
        <row r="53">
          <cell r="C53" t="str">
            <v>TOTAL INCOME</v>
          </cell>
          <cell r="D53">
            <v>2433868134.77</v>
          </cell>
          <cell r="E53">
            <v>2433868134.77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D55">
            <v>1796170</v>
          </cell>
          <cell r="E55">
            <v>1796170</v>
          </cell>
        </row>
        <row r="56">
          <cell r="B56">
            <v>2110</v>
          </cell>
          <cell r="C56" t="str">
            <v>Management Staff Allowances Account</v>
          </cell>
          <cell r="D56">
            <v>460118.47</v>
          </cell>
          <cell r="E56">
            <v>460118.47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29761790.120000001</v>
          </cell>
          <cell r="E58">
            <v>29761790.120000001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12744071.050000001</v>
          </cell>
          <cell r="E60">
            <v>12744071.050000001</v>
          </cell>
        </row>
        <row r="61">
          <cell r="B61">
            <v>2310</v>
          </cell>
          <cell r="C61" t="str">
            <v>Other Staff Allowances Account</v>
          </cell>
          <cell r="D61">
            <v>1656171.54</v>
          </cell>
          <cell r="E61">
            <v>1656171.54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35851757.300000004</v>
          </cell>
          <cell r="E64">
            <v>35851757.300000004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11617600</v>
          </cell>
          <cell r="E67">
            <v>11617600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</row>
        <row r="69">
          <cell r="B69">
            <v>2340</v>
          </cell>
          <cell r="C69" t="str">
            <v>Labor Rate Variance Account</v>
          </cell>
          <cell r="D69">
            <v>-9636290.3900000006</v>
          </cell>
          <cell r="E69">
            <v>-9636290.3900000006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280268.65000000002</v>
          </cell>
          <cell r="E70">
            <v>280268.65000000002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3871210.75</v>
          </cell>
          <cell r="E71">
            <v>3871210.75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5282802.38</v>
          </cell>
          <cell r="E73">
            <v>5282802.38</v>
          </cell>
        </row>
        <row r="74">
          <cell r="B74">
            <v>2510</v>
          </cell>
          <cell r="C74" t="str">
            <v>Incentive for Meter Readers Account</v>
          </cell>
          <cell r="D74">
            <v>128900</v>
          </cell>
          <cell r="E74">
            <v>128900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4798672.6500000004</v>
          </cell>
          <cell r="E76">
            <v>4798672.6500000004</v>
          </cell>
        </row>
        <row r="77">
          <cell r="B77">
            <v>2540</v>
          </cell>
          <cell r="C77" t="str">
            <v>Allowances to Trainees Account</v>
          </cell>
          <cell r="D77">
            <v>808813</v>
          </cell>
          <cell r="E77">
            <v>808813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0</v>
          </cell>
          <cell r="E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27842</v>
          </cell>
          <cell r="E82">
            <v>27842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0</v>
          </cell>
          <cell r="E84">
            <v>0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0</v>
          </cell>
          <cell r="E87">
            <v>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1128716.3799999999</v>
          </cell>
          <cell r="E89">
            <v>1128716.3799999999</v>
          </cell>
        </row>
        <row r="90">
          <cell r="B90">
            <v>2641</v>
          </cell>
          <cell r="C90" t="str">
            <v>Medical Expenses  - Out door Account</v>
          </cell>
          <cell r="D90">
            <v>1561295.95</v>
          </cell>
          <cell r="E90">
            <v>1561295.95</v>
          </cell>
        </row>
        <row r="91">
          <cell r="B91">
            <v>2650</v>
          </cell>
          <cell r="C91" t="str">
            <v>Uniforms &amp; Protective Clothing Account</v>
          </cell>
          <cell r="D91">
            <v>685176.75</v>
          </cell>
          <cell r="E91">
            <v>685176.75</v>
          </cell>
        </row>
        <row r="92">
          <cell r="B92">
            <v>2660</v>
          </cell>
          <cell r="C92" t="str">
            <v>Reimbursement of loan Interest Account</v>
          </cell>
          <cell r="D92">
            <v>7952457.54</v>
          </cell>
          <cell r="E92">
            <v>7952457.54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0</v>
          </cell>
        </row>
        <row r="94">
          <cell r="B94">
            <v>2680</v>
          </cell>
          <cell r="C94" t="str">
            <v>CEB Pension Fund Account</v>
          </cell>
          <cell r="D94">
            <v>4749377.09</v>
          </cell>
          <cell r="E94">
            <v>4749377.09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2101689.34</v>
          </cell>
          <cell r="E96">
            <v>2101689.34</v>
          </cell>
        </row>
        <row r="97">
          <cell r="B97">
            <v>2710</v>
          </cell>
          <cell r="C97" t="str">
            <v>CEB Provident Fund Account</v>
          </cell>
          <cell r="D97">
            <v>9339440.4900000002</v>
          </cell>
          <cell r="E97">
            <v>9339440.4900000002</v>
          </cell>
        </row>
        <row r="98">
          <cell r="C98" t="str">
            <v>personel cost on pension fund</v>
          </cell>
          <cell r="D98">
            <v>0</v>
          </cell>
          <cell r="E98">
            <v>0</v>
          </cell>
        </row>
        <row r="99">
          <cell r="C99" t="str">
            <v>PERSONNEL EXPENSES - SUB TOTAL</v>
          </cell>
          <cell r="D99">
            <v>126968051.06000002</v>
          </cell>
          <cell r="E99">
            <v>126968051.06000002</v>
          </cell>
        </row>
        <row r="100">
          <cell r="C100" t="str">
            <v xml:space="preserve"> MATERIAL COST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2049150761.4300001</v>
          </cell>
          <cell r="E104">
            <v>2049150761.4300001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79907110.909999996</v>
          </cell>
          <cell r="E110">
            <v>79907110.909999996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</row>
        <row r="115">
          <cell r="B115">
            <v>3212</v>
          </cell>
          <cell r="C115" t="str">
            <v>Expenses on Tug Boats and Barges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0</v>
          </cell>
        </row>
        <row r="119">
          <cell r="B119">
            <v>3300</v>
          </cell>
          <cell r="C119" t="str">
            <v>Loose Tools Account</v>
          </cell>
          <cell r="D119">
            <v>549620</v>
          </cell>
          <cell r="E119">
            <v>549620</v>
          </cell>
        </row>
        <row r="120">
          <cell r="B120">
            <v>3410</v>
          </cell>
          <cell r="C120" t="str">
            <v>Stores Discrepancies Account</v>
          </cell>
          <cell r="D120">
            <v>5964.2</v>
          </cell>
          <cell r="E120">
            <v>5964.2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1653749.81</v>
          </cell>
          <cell r="E122">
            <v>1653749.81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525740.25</v>
          </cell>
          <cell r="E123">
            <v>525740.25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C125" t="str">
            <v>MATERIAL COST - SUB TOTAL</v>
          </cell>
          <cell r="D125">
            <v>2131792946.6000001</v>
          </cell>
          <cell r="E125">
            <v>2131792946.6000001</v>
          </cell>
        </row>
        <row r="126">
          <cell r="C126" t="str">
            <v>ACCOMMODATION EXPENSES</v>
          </cell>
        </row>
        <row r="127">
          <cell r="B127">
            <v>4100</v>
          </cell>
          <cell r="C127" t="str">
            <v>Housing Rent and Rates Account</v>
          </cell>
          <cell r="D127">
            <v>1329818.3600000001</v>
          </cell>
          <cell r="E127">
            <v>1329818.3600000001</v>
          </cell>
        </row>
        <row r="128">
          <cell r="B128">
            <v>4110</v>
          </cell>
          <cell r="C128" t="str">
            <v>Building Maintenance Account</v>
          </cell>
          <cell r="D128">
            <v>385349.39</v>
          </cell>
          <cell r="E128">
            <v>385349.39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309802.5</v>
          </cell>
          <cell r="E130">
            <v>309802.5</v>
          </cell>
        </row>
        <row r="131">
          <cell r="B131">
            <v>4300</v>
          </cell>
          <cell r="C131" t="str">
            <v>Electricity  Consumption Account</v>
          </cell>
          <cell r="D131">
            <v>605207.79</v>
          </cell>
          <cell r="E131">
            <v>605207.79</v>
          </cell>
        </row>
        <row r="132">
          <cell r="B132">
            <v>4400</v>
          </cell>
          <cell r="C132" t="str">
            <v>Water Supply Charges Account</v>
          </cell>
          <cell r="D132">
            <v>119238.77</v>
          </cell>
          <cell r="E132">
            <v>119238.77</v>
          </cell>
        </row>
        <row r="133">
          <cell r="C133" t="str">
            <v>ACCOMMODATION EXPENSES - SUB TOTAL</v>
          </cell>
          <cell r="D133">
            <v>2749416.81</v>
          </cell>
          <cell r="E133">
            <v>2749416.81</v>
          </cell>
        </row>
        <row r="134">
          <cell r="C134" t="str">
            <v>TRANSPORT &amp; COMMUNICATION EXPENSES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3519317.03</v>
          </cell>
          <cell r="E135">
            <v>3519317.03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7559264.3700000001</v>
          </cell>
          <cell r="E137">
            <v>7559264.3700000001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8023243.0199999996</v>
          </cell>
          <cell r="E138">
            <v>8023243.0199999996</v>
          </cell>
        </row>
        <row r="139">
          <cell r="B139">
            <v>5220</v>
          </cell>
          <cell r="C139" t="str">
            <v>Vehicle Hire Charges Account</v>
          </cell>
          <cell r="D139">
            <v>8194024.2999999998</v>
          </cell>
          <cell r="E139">
            <v>8194024.2999999998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1416446.76</v>
          </cell>
          <cell r="E141">
            <v>1416446.76</v>
          </cell>
        </row>
        <row r="142">
          <cell r="B142">
            <v>5310</v>
          </cell>
          <cell r="C142" t="str">
            <v>Postage Account</v>
          </cell>
          <cell r="D142">
            <v>147007</v>
          </cell>
          <cell r="E142">
            <v>147007</v>
          </cell>
        </row>
        <row r="143">
          <cell r="B143">
            <v>5320</v>
          </cell>
          <cell r="C143" t="str">
            <v>Telecommunications Account</v>
          </cell>
          <cell r="D143">
            <v>497748.01</v>
          </cell>
          <cell r="E143">
            <v>497748.01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</v>
          </cell>
          <cell r="D145">
            <v>233703.96</v>
          </cell>
          <cell r="E145">
            <v>233703.96</v>
          </cell>
        </row>
        <row r="146">
          <cell r="B146">
            <v>5323</v>
          </cell>
          <cell r="C146" t="str">
            <v>Expenses on Software licenses and  maintenance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D147">
            <v>0</v>
          </cell>
          <cell r="E147">
            <v>0</v>
          </cell>
        </row>
        <row r="148">
          <cell r="C148" t="str">
            <v>TRANSPORT &amp; COMMUNICATION EXP. - SUB TOTAL</v>
          </cell>
          <cell r="D148">
            <v>29590754.450000007</v>
          </cell>
          <cell r="E148">
            <v>29590754.450000007</v>
          </cell>
        </row>
        <row r="149">
          <cell r="C149" t="str">
            <v xml:space="preserve"> DEPRECIATION</v>
          </cell>
        </row>
        <row r="150">
          <cell r="B150">
            <v>6000</v>
          </cell>
          <cell r="C150" t="str">
            <v>Depreciation Account</v>
          </cell>
          <cell r="D150">
            <v>0</v>
          </cell>
          <cell r="E150">
            <v>0</v>
          </cell>
        </row>
        <row r="151">
          <cell r="C151" t="str">
            <v>DEPRECIATION - SUB TOTAL</v>
          </cell>
          <cell r="D151">
            <v>0</v>
          </cell>
          <cell r="E151">
            <v>0</v>
          </cell>
        </row>
        <row r="152">
          <cell r="C152" t="str">
            <v xml:space="preserve"> OTHER EXPENSES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4241385.5999999996</v>
          </cell>
          <cell r="E154">
            <v>4241385.5999999996</v>
          </cell>
        </row>
        <row r="155">
          <cell r="B155">
            <v>7211</v>
          </cell>
          <cell r="C155" t="str">
            <v>Payment to Manpower Agencies Account</v>
          </cell>
          <cell r="D155">
            <v>34778641.82</v>
          </cell>
          <cell r="E155">
            <v>34778641.82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5280</v>
          </cell>
          <cell r="E160">
            <v>5280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23000</v>
          </cell>
          <cell r="E168">
            <v>23000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</row>
        <row r="170">
          <cell r="B170">
            <v>7510</v>
          </cell>
          <cell r="C170" t="str">
            <v>Entertainment Account</v>
          </cell>
          <cell r="D170">
            <v>71839</v>
          </cell>
          <cell r="E170">
            <v>71839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0</v>
          </cell>
          <cell r="E172">
            <v>0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462500</v>
          </cell>
          <cell r="E176">
            <v>462500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90482827.359999999</v>
          </cell>
          <cell r="E179">
            <v>90482827.359999999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136016.4</v>
          </cell>
          <cell r="E182">
            <v>136016.4</v>
          </cell>
        </row>
        <row r="183">
          <cell r="B183">
            <v>7810</v>
          </cell>
          <cell r="C183" t="str">
            <v>Compensation to Third Parties Account</v>
          </cell>
          <cell r="D183">
            <v>1959000</v>
          </cell>
          <cell r="E183">
            <v>1959000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205649.54</v>
          </cell>
          <cell r="E184">
            <v>205649.54</v>
          </cell>
        </row>
        <row r="185">
          <cell r="B185">
            <v>7830</v>
          </cell>
          <cell r="C185" t="str">
            <v>Way Leaves Account</v>
          </cell>
          <cell r="D185">
            <v>8848626.5</v>
          </cell>
          <cell r="E185">
            <v>8848626.5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1526945.63</v>
          </cell>
          <cell r="E188">
            <v>1526945.63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>Expenses on Cost Recovery Traning</v>
          </cell>
          <cell r="D191">
            <v>0</v>
          </cell>
          <cell r="E191">
            <v>0</v>
          </cell>
        </row>
        <row r="192">
          <cell r="C192" t="str">
            <v>OTHER EXPENSES - SUB TOTAL</v>
          </cell>
          <cell r="D192">
            <v>142741711.85000002</v>
          </cell>
          <cell r="E192">
            <v>142741711.85000002</v>
          </cell>
        </row>
        <row r="193">
          <cell r="C193" t="str">
            <v>FINANCE COST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25254</v>
          </cell>
          <cell r="E196">
            <v>25254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</row>
        <row r="208">
          <cell r="B208">
            <v>9300</v>
          </cell>
          <cell r="C208" t="str">
            <v>Deferred Tax Expense / (Income) - Net</v>
          </cell>
          <cell r="D208">
            <v>0</v>
          </cell>
          <cell r="E208">
            <v>0</v>
          </cell>
        </row>
        <row r="209">
          <cell r="C209" t="str">
            <v>FINANCE COST - SUB TOTAL</v>
          </cell>
          <cell r="D209">
            <v>25254</v>
          </cell>
          <cell r="E209">
            <v>25254</v>
          </cell>
        </row>
      </sheetData>
      <sheetData sheetId="66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470765145.55000001</v>
          </cell>
          <cell r="E11">
            <v>470765145.55000001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841995183.97000003</v>
          </cell>
          <cell r="E13">
            <v>841995183.97000003</v>
          </cell>
        </row>
        <row r="14">
          <cell r="B14">
            <v>1125</v>
          </cell>
          <cell r="C14" t="str">
            <v>Fixed charges on Electricity Bills</v>
          </cell>
          <cell r="D14">
            <v>115054305</v>
          </cell>
          <cell r="E14">
            <v>115054305</v>
          </cell>
        </row>
        <row r="15">
          <cell r="B15">
            <v>1200</v>
          </cell>
          <cell r="C15" t="str">
            <v>Fuel Surcharge Account</v>
          </cell>
          <cell r="D15">
            <v>196992267.24000001</v>
          </cell>
          <cell r="E15">
            <v>196992267.24000001</v>
          </cell>
        </row>
        <row r="16">
          <cell r="C16" t="str">
            <v>SUB TOTAL OF TURNOVER</v>
          </cell>
          <cell r="D16">
            <v>1624806901.76</v>
          </cell>
          <cell r="E16">
            <v>1624806901.76</v>
          </cell>
        </row>
        <row r="17">
          <cell r="C17" t="str">
            <v xml:space="preserve"> INTEREST INCOME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1310783.3999999999</v>
          </cell>
          <cell r="E19">
            <v>1310783.3999999999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C21" t="str">
            <v>SUB TOTAL OF INTEREST INCOME</v>
          </cell>
          <cell r="D21">
            <v>1310783.3999999999</v>
          </cell>
          <cell r="E21">
            <v>1310783.3999999999</v>
          </cell>
        </row>
        <row r="22">
          <cell r="C22" t="str">
            <v>DIVIDEND INCOME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</row>
        <row r="24">
          <cell r="C24" t="str">
            <v>SUB TOTAL OF DIVIDEND INCOME</v>
          </cell>
          <cell r="D24">
            <v>0</v>
          </cell>
          <cell r="E24">
            <v>0</v>
          </cell>
        </row>
        <row r="25">
          <cell r="C25" t="str">
            <v xml:space="preserve"> OVERHEAD RECOVERIES</v>
          </cell>
        </row>
        <row r="26">
          <cell r="B26">
            <v>1330</v>
          </cell>
          <cell r="C26" t="str">
            <v>Overhead Recoveries Account</v>
          </cell>
          <cell r="D26">
            <v>19076390.600000001</v>
          </cell>
          <cell r="E26">
            <v>19076390.600000001</v>
          </cell>
        </row>
        <row r="27">
          <cell r="B27">
            <v>1510</v>
          </cell>
          <cell r="C27" t="str">
            <v>Recoveries on House Rent Account</v>
          </cell>
          <cell r="D27">
            <v>162988</v>
          </cell>
          <cell r="E27">
            <v>162988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</row>
        <row r="32">
          <cell r="C32" t="str">
            <v>SUB TOTAL OF OVERHEAD RECOVERIES</v>
          </cell>
          <cell r="D32">
            <v>19239378.600000001</v>
          </cell>
          <cell r="E32">
            <v>19239378.600000001</v>
          </cell>
        </row>
        <row r="33">
          <cell r="C33" t="str">
            <v xml:space="preserve"> PROFIT / LOSS ON DISPOSAl OF PPE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168400</v>
          </cell>
          <cell r="E35">
            <v>168400</v>
          </cell>
        </row>
        <row r="36">
          <cell r="C36" t="str">
            <v>SUB TOTAL OF PROFIT / LOSS ON DISPOSAl OF PPE</v>
          </cell>
          <cell r="D36">
            <v>168400</v>
          </cell>
          <cell r="E36">
            <v>168400</v>
          </cell>
        </row>
        <row r="37">
          <cell r="C37" t="str">
            <v xml:space="preserve"> MISSELANIOUS INCOME</v>
          </cell>
        </row>
        <row r="38">
          <cell r="B38">
            <v>1130</v>
          </cell>
          <cell r="C38" t="str">
            <v>Surcharge on Electricity Bills Account</v>
          </cell>
          <cell r="D38">
            <v>-1282671.77</v>
          </cell>
          <cell r="E38">
            <v>-1282671.77</v>
          </cell>
        </row>
        <row r="39">
          <cell r="B39">
            <v>1300</v>
          </cell>
          <cell r="C39" t="str">
            <v>Miscellaneous Income Account</v>
          </cell>
          <cell r="D39">
            <v>6526423.5499999998</v>
          </cell>
          <cell r="E39">
            <v>6526423.5499999998</v>
          </cell>
        </row>
        <row r="40">
          <cell r="B40">
            <v>1305</v>
          </cell>
          <cell r="C40" t="str">
            <v>Samurdhi Loan Interest  Account</v>
          </cell>
          <cell r="D40">
            <v>2060108.45</v>
          </cell>
          <cell r="E40">
            <v>2060108.45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88266.58</v>
          </cell>
          <cell r="E42">
            <v>88266.58</v>
          </cell>
        </row>
        <row r="43">
          <cell r="B43">
            <v>1320</v>
          </cell>
          <cell r="C43" t="str">
            <v>Re-usable Material Account</v>
          </cell>
          <cell r="D43">
            <v>658615</v>
          </cell>
          <cell r="E43">
            <v>658615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2241985.9500000002</v>
          </cell>
          <cell r="E45">
            <v>2241985.9500000002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4500</v>
          </cell>
          <cell r="E46">
            <v>4500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46035</v>
          </cell>
          <cell r="E47">
            <v>46035</v>
          </cell>
        </row>
        <row r="48">
          <cell r="B48">
            <v>1370</v>
          </cell>
          <cell r="C48" t="str">
            <v>Income on Cost Recovery Jobs Account</v>
          </cell>
          <cell r="D48">
            <v>1675136.67</v>
          </cell>
          <cell r="E48">
            <v>1675136.67</v>
          </cell>
        </row>
        <row r="49">
          <cell r="B49">
            <v>1380</v>
          </cell>
          <cell r="C49" t="str">
            <v>Service Main Application Fee Account</v>
          </cell>
          <cell r="D49">
            <v>1332700</v>
          </cell>
          <cell r="E49">
            <v>1332700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C52" t="str">
            <v>SUB TOTAL OF MISSELANIOUS INCOME</v>
          </cell>
          <cell r="D52">
            <v>13351099.43</v>
          </cell>
          <cell r="E52">
            <v>13351099.43</v>
          </cell>
        </row>
        <row r="53">
          <cell r="C53" t="str">
            <v>TOTAL INCOME</v>
          </cell>
          <cell r="D53">
            <v>1658876563.1900001</v>
          </cell>
          <cell r="E53">
            <v>1658876563.1900001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D55">
            <v>908347.24</v>
          </cell>
          <cell r="E55">
            <v>908347.24</v>
          </cell>
        </row>
        <row r="56">
          <cell r="B56">
            <v>2110</v>
          </cell>
          <cell r="C56" t="str">
            <v>Management Staff Allowances Account</v>
          </cell>
          <cell r="D56">
            <v>542657.24</v>
          </cell>
          <cell r="E56">
            <v>542657.24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33841732.979999997</v>
          </cell>
          <cell r="E58">
            <v>33841732.979999997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17106451.129999999</v>
          </cell>
          <cell r="E60">
            <v>17106451.129999999</v>
          </cell>
        </row>
        <row r="61">
          <cell r="B61">
            <v>2310</v>
          </cell>
          <cell r="C61" t="str">
            <v>Other Staff Allowances Account</v>
          </cell>
          <cell r="D61">
            <v>1790934</v>
          </cell>
          <cell r="E61">
            <v>1790934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34327805.829999998</v>
          </cell>
          <cell r="E64">
            <v>34327805.829999998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8928484</v>
          </cell>
          <cell r="E67">
            <v>8928484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</row>
        <row r="69">
          <cell r="B69">
            <v>2340</v>
          </cell>
          <cell r="C69" t="str">
            <v>Labor Rate Variance Account</v>
          </cell>
          <cell r="D69">
            <v>-11169634.699999999</v>
          </cell>
          <cell r="E69">
            <v>-11169634.699999999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109431.15</v>
          </cell>
          <cell r="E70">
            <v>109431.15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4733990.6100000003</v>
          </cell>
          <cell r="E71">
            <v>4733990.6100000003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5380664.6299999999</v>
          </cell>
          <cell r="E73">
            <v>5380664.6299999999</v>
          </cell>
        </row>
        <row r="74">
          <cell r="B74">
            <v>2510</v>
          </cell>
          <cell r="C74" t="str">
            <v>Incentive for Meter Readers Account</v>
          </cell>
          <cell r="D74">
            <v>166600</v>
          </cell>
          <cell r="E74">
            <v>166600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4547831.18</v>
          </cell>
          <cell r="E76">
            <v>4547831.18</v>
          </cell>
        </row>
        <row r="77">
          <cell r="B77">
            <v>2540</v>
          </cell>
          <cell r="C77" t="str">
            <v>Allowances to Trainees Account</v>
          </cell>
          <cell r="D77">
            <v>866050</v>
          </cell>
          <cell r="E77">
            <v>866050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0</v>
          </cell>
          <cell r="E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6760</v>
          </cell>
          <cell r="E82">
            <v>6760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4480</v>
          </cell>
          <cell r="E84">
            <v>4480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0</v>
          </cell>
          <cell r="E87">
            <v>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5216110.4000000004</v>
          </cell>
          <cell r="E89">
            <v>5216110.4000000004</v>
          </cell>
        </row>
        <row r="90">
          <cell r="B90">
            <v>2641</v>
          </cell>
          <cell r="C90" t="str">
            <v>Medical Expenses  - Out door Account</v>
          </cell>
          <cell r="D90">
            <v>1255007.8600000001</v>
          </cell>
          <cell r="E90">
            <v>1255007.8600000001</v>
          </cell>
        </row>
        <row r="91">
          <cell r="B91">
            <v>2650</v>
          </cell>
          <cell r="C91" t="str">
            <v>Uniforms &amp; Protective Clothing Account</v>
          </cell>
          <cell r="D91">
            <v>1187084.78</v>
          </cell>
          <cell r="E91">
            <v>1187084.78</v>
          </cell>
        </row>
        <row r="92">
          <cell r="B92">
            <v>2660</v>
          </cell>
          <cell r="C92" t="str">
            <v>Reimbursement of loan Interest Account</v>
          </cell>
          <cell r="D92">
            <v>6946914.7400000002</v>
          </cell>
          <cell r="E92">
            <v>6946914.7400000002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0</v>
          </cell>
        </row>
        <row r="94">
          <cell r="B94">
            <v>2680</v>
          </cell>
          <cell r="C94" t="str">
            <v>CEB Pension Fund Account</v>
          </cell>
          <cell r="D94">
            <v>5238195.84</v>
          </cell>
          <cell r="E94">
            <v>5238195.84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1968137.62</v>
          </cell>
          <cell r="E96">
            <v>1968137.62</v>
          </cell>
        </row>
        <row r="97">
          <cell r="B97">
            <v>2710</v>
          </cell>
          <cell r="C97" t="str">
            <v>CEB Provident Fund Account</v>
          </cell>
          <cell r="D97">
            <v>9840688.0899999999</v>
          </cell>
          <cell r="E97">
            <v>9840688.0899999999</v>
          </cell>
        </row>
        <row r="98">
          <cell r="C98" t="str">
            <v>personel cost on pension fund</v>
          </cell>
          <cell r="D98">
            <v>0</v>
          </cell>
          <cell r="E98">
            <v>0</v>
          </cell>
        </row>
        <row r="99">
          <cell r="C99" t="str">
            <v>PERSONNEL EXPENSES - SUB TOTAL</v>
          </cell>
          <cell r="D99">
            <v>133744724.62</v>
          </cell>
          <cell r="E99">
            <v>133744724.62</v>
          </cell>
        </row>
        <row r="100">
          <cell r="C100" t="str">
            <v xml:space="preserve"> MATERIAL COST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1428154043.95</v>
          </cell>
          <cell r="E104">
            <v>1428154043.95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37795338.469999999</v>
          </cell>
          <cell r="E110">
            <v>37795338.469999999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</row>
        <row r="115">
          <cell r="B115">
            <v>3212</v>
          </cell>
          <cell r="C115" t="str">
            <v>Expenses on Tug Boats and Barges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0</v>
          </cell>
        </row>
        <row r="119">
          <cell r="B119">
            <v>3300</v>
          </cell>
          <cell r="C119" t="str">
            <v>Loose Tools Account</v>
          </cell>
          <cell r="D119">
            <v>949092.75</v>
          </cell>
          <cell r="E119">
            <v>949092.75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3485745.54</v>
          </cell>
          <cell r="E122">
            <v>3485745.54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-778546.21</v>
          </cell>
          <cell r="E123">
            <v>-778546.21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C125" t="str">
            <v>MATERIAL COST - SUB TOTAL</v>
          </cell>
          <cell r="D125">
            <v>1469605674.5</v>
          </cell>
          <cell r="E125">
            <v>1469605674.5</v>
          </cell>
        </row>
        <row r="126">
          <cell r="C126" t="str">
            <v>ACCOMMODATION EXPENSES</v>
          </cell>
        </row>
        <row r="127">
          <cell r="B127">
            <v>4100</v>
          </cell>
          <cell r="C127" t="str">
            <v>Housing Rent and Rates Account</v>
          </cell>
          <cell r="D127">
            <v>2415950</v>
          </cell>
          <cell r="E127">
            <v>2415950</v>
          </cell>
        </row>
        <row r="128">
          <cell r="B128">
            <v>4110</v>
          </cell>
          <cell r="C128" t="str">
            <v>Building Maintenance Account</v>
          </cell>
          <cell r="D128">
            <v>3418848.65</v>
          </cell>
          <cell r="E128">
            <v>3418848.65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300290</v>
          </cell>
          <cell r="E130">
            <v>300290</v>
          </cell>
        </row>
        <row r="131">
          <cell r="B131">
            <v>4300</v>
          </cell>
          <cell r="C131" t="str">
            <v>Electricity  Consumption Account</v>
          </cell>
          <cell r="D131">
            <v>673892.01</v>
          </cell>
          <cell r="E131">
            <v>673892.01</v>
          </cell>
        </row>
        <row r="132">
          <cell r="B132">
            <v>4400</v>
          </cell>
          <cell r="C132" t="str">
            <v>Water Supply Charges Account</v>
          </cell>
          <cell r="D132">
            <v>466994.98</v>
          </cell>
          <cell r="E132">
            <v>466994.98</v>
          </cell>
        </row>
        <row r="133">
          <cell r="C133" t="str">
            <v>ACCOMMODATION EXPENSES - SUB TOTAL</v>
          </cell>
          <cell r="D133">
            <v>7275975.6400000006</v>
          </cell>
          <cell r="E133">
            <v>7275975.6400000006</v>
          </cell>
        </row>
        <row r="134">
          <cell r="C134" t="str">
            <v>TRANSPORT &amp; COMMUNICATION EXPENSES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3975997.75</v>
          </cell>
          <cell r="E135">
            <v>3975997.75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5067184.8499999996</v>
          </cell>
          <cell r="E137">
            <v>5067184.8499999996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8119858.0999999996</v>
          </cell>
          <cell r="E138">
            <v>8119858.0999999996</v>
          </cell>
        </row>
        <row r="139">
          <cell r="B139">
            <v>5220</v>
          </cell>
          <cell r="C139" t="str">
            <v>Vehicle Hire Charges Account</v>
          </cell>
          <cell r="D139">
            <v>14010890.84</v>
          </cell>
          <cell r="E139">
            <v>14010890.84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1869002.03</v>
          </cell>
          <cell r="E141">
            <v>1869002.03</v>
          </cell>
        </row>
        <row r="142">
          <cell r="B142">
            <v>5310</v>
          </cell>
          <cell r="C142" t="str">
            <v>Postage Account</v>
          </cell>
          <cell r="D142">
            <v>100000</v>
          </cell>
          <cell r="E142">
            <v>100000</v>
          </cell>
        </row>
        <row r="143">
          <cell r="B143">
            <v>5320</v>
          </cell>
          <cell r="C143" t="str">
            <v>Telecommunications Account</v>
          </cell>
          <cell r="D143">
            <v>623764.47</v>
          </cell>
          <cell r="E143">
            <v>623764.47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</v>
          </cell>
          <cell r="D145">
            <v>123438.49</v>
          </cell>
          <cell r="E145">
            <v>123438.49</v>
          </cell>
        </row>
        <row r="146">
          <cell r="B146">
            <v>5323</v>
          </cell>
          <cell r="C146" t="str">
            <v>Expenses on Software licenses and  maintenance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D147">
            <v>0</v>
          </cell>
          <cell r="E147">
            <v>0</v>
          </cell>
        </row>
        <row r="148">
          <cell r="C148" t="str">
            <v>TRANSPORT &amp; COMMUNICATION EXP. - SUB TOTAL</v>
          </cell>
          <cell r="D148">
            <v>33890136.530000001</v>
          </cell>
          <cell r="E148">
            <v>33890136.530000001</v>
          </cell>
        </row>
        <row r="149">
          <cell r="C149" t="str">
            <v xml:space="preserve"> DEPRECIATION</v>
          </cell>
        </row>
        <row r="150">
          <cell r="B150">
            <v>6000</v>
          </cell>
          <cell r="C150" t="str">
            <v>Depreciation Account</v>
          </cell>
          <cell r="D150">
            <v>0</v>
          </cell>
          <cell r="E150">
            <v>0</v>
          </cell>
        </row>
        <row r="151">
          <cell r="C151" t="str">
            <v>DEPRECIATION - SUB TOTAL</v>
          </cell>
          <cell r="D151">
            <v>0</v>
          </cell>
          <cell r="E151">
            <v>0</v>
          </cell>
        </row>
        <row r="152">
          <cell r="C152" t="str">
            <v xml:space="preserve"> OTHER EXPENSES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3578908.2</v>
          </cell>
          <cell r="E154">
            <v>3578908.2</v>
          </cell>
        </row>
        <row r="155">
          <cell r="B155">
            <v>7211</v>
          </cell>
          <cell r="C155" t="str">
            <v>Payment to Manpower Agencies Account</v>
          </cell>
          <cell r="D155">
            <v>42210604.490000002</v>
          </cell>
          <cell r="E155">
            <v>42210604.490000002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19960</v>
          </cell>
          <cell r="E168">
            <v>19960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</row>
        <row r="170">
          <cell r="B170">
            <v>7510</v>
          </cell>
          <cell r="C170" t="str">
            <v>Entertainment Account</v>
          </cell>
          <cell r="D170">
            <v>87360</v>
          </cell>
          <cell r="E170">
            <v>87360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0</v>
          </cell>
          <cell r="E172">
            <v>0</v>
          </cell>
        </row>
        <row r="173">
          <cell r="B173">
            <v>7600</v>
          </cell>
          <cell r="C173" t="str">
            <v>Insurance Premiums Account</v>
          </cell>
          <cell r="D173">
            <v>14270.31</v>
          </cell>
          <cell r="E173">
            <v>14270.31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862500</v>
          </cell>
          <cell r="E176">
            <v>862500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-52612291.740000002</v>
          </cell>
          <cell r="E179">
            <v>-52612291.740000002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110645.39</v>
          </cell>
          <cell r="E182">
            <v>110645.39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237178.75</v>
          </cell>
          <cell r="E184">
            <v>237178.75</v>
          </cell>
        </row>
        <row r="185">
          <cell r="B185">
            <v>7830</v>
          </cell>
          <cell r="C185" t="str">
            <v>Way Leaves Account</v>
          </cell>
          <cell r="D185">
            <v>19825586</v>
          </cell>
          <cell r="E185">
            <v>19825586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>Expenses on Cost Recovery Traning</v>
          </cell>
          <cell r="D191">
            <v>0</v>
          </cell>
          <cell r="E191">
            <v>0</v>
          </cell>
        </row>
        <row r="192">
          <cell r="C192" t="str">
            <v>OTHER EXPENSES - SUB TOTAL</v>
          </cell>
          <cell r="D192">
            <v>14334721.400000006</v>
          </cell>
          <cell r="E192">
            <v>14334721.400000006</v>
          </cell>
        </row>
        <row r="193">
          <cell r="C193" t="str">
            <v>FINANCE COST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25330.5</v>
          </cell>
          <cell r="E196">
            <v>25330.5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</row>
        <row r="208">
          <cell r="B208">
            <v>9300</v>
          </cell>
          <cell r="C208" t="str">
            <v>Deferred Tax Expense / (Income) - Net</v>
          </cell>
          <cell r="D208">
            <v>0</v>
          </cell>
          <cell r="E208">
            <v>0</v>
          </cell>
        </row>
        <row r="209">
          <cell r="C209" t="str">
            <v>FINANCE COST - SUB TOTAL</v>
          </cell>
          <cell r="D209">
            <v>25330.5</v>
          </cell>
          <cell r="E209">
            <v>25330.5</v>
          </cell>
        </row>
      </sheetData>
      <sheetData sheetId="67">
        <row r="9">
          <cell r="B9">
            <v>1100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 01"/>
      <sheetName val="Annex 02 (TB)"/>
      <sheetName val="Annex 03(CS)"/>
      <sheetName val="Annex 04"/>
      <sheetName val="Annex 05"/>
      <sheetName val="Annex 06"/>
      <sheetName val="Annex 07"/>
      <sheetName val="Annex 08"/>
      <sheetName val="Annex 09.1(a)"/>
      <sheetName val="Annex 09.1(b)"/>
      <sheetName val="Annex 09.2"/>
      <sheetName val="Annex 09.3 a"/>
      <sheetName val="Annex 09.3"/>
      <sheetName val="10.1"/>
      <sheetName val="10.2"/>
      <sheetName val="10.3"/>
      <sheetName val="10.4"/>
      <sheetName val="11.1 "/>
      <sheetName val="10.5"/>
      <sheetName val="11.2 "/>
      <sheetName val="11.3"/>
      <sheetName val="LTL REC"/>
      <sheetName val="12"/>
      <sheetName val="13"/>
      <sheetName val="14"/>
      <sheetName val="15"/>
      <sheetName val="16"/>
      <sheetName val="17"/>
      <sheetName val="18"/>
      <sheetName val="INDEX"/>
      <sheetName val="Deference"/>
      <sheetName val="P&amp;L Presentation Format"/>
      <sheetName val="P&amp;L"/>
      <sheetName val="B.S "/>
      <sheetName val="CF Print"/>
      <sheetName val="P&amp;L Notes"/>
      <sheetName val="PPEnew"/>
      <sheetName val="B.S Notes"/>
      <sheetName val="Sheet3"/>
      <sheetName val="CURRENT ACCOUNT"/>
      <sheetName val="Cu AC "/>
      <sheetName val="TB"/>
      <sheetName val=" TB  520"/>
      <sheetName val=" TB 520.11"/>
      <sheetName val=" TB 520.20"/>
      <sheetName val=" TB 520.30"/>
      <sheetName val=" TB 520.70"/>
      <sheetName val=" TB 521"/>
      <sheetName val=" TB 522"/>
      <sheetName val=" TB 523"/>
      <sheetName val=" TB 524"/>
      <sheetName val=" TB 525 "/>
      <sheetName val=" TB 526"/>
      <sheetName val=" TB 527"/>
      <sheetName val="CS"/>
      <sheetName val=" CS 520 "/>
      <sheetName val=" CS 520.11"/>
      <sheetName val=" CS 520.20"/>
      <sheetName val=" CS 520.30"/>
      <sheetName val="WIP SUM"/>
      <sheetName val=" CS 520.70"/>
      <sheetName val=" CS 521"/>
      <sheetName val=" CS 522"/>
      <sheetName val=" CS 523"/>
      <sheetName val="CS 524"/>
      <sheetName val=" CS 525"/>
      <sheetName val=" CS 526"/>
      <sheetName val=" CS 527"/>
      <sheetName val="WIP AGE"/>
      <sheetName val="AGE DR "/>
      <sheetName val="AGE CR "/>
      <sheetName val="DR CSW"/>
      <sheetName val="DR AGE 2"/>
      <sheetName val="CR CSW"/>
      <sheetName val="CR AGE 2"/>
      <sheetName val="STOCK REPORT"/>
      <sheetName val="STK ADJ"/>
      <sheetName val="CS (B Vs A)"/>
      <sheetName val="Aproved  2014"/>
      <sheetName val=" TB 521 (2)"/>
      <sheetName val="Cost Sheet (B Vs. A)"/>
      <sheetName val="DR AGE"/>
      <sheetName val="CR AGE"/>
      <sheetName val="Budget"/>
      <sheetName val="WIP"/>
      <sheetName val="WIPAGE"/>
      <sheetName val="WIP REC"/>
      <sheetName val="WIP REC(Sum)"/>
      <sheetName val="TBSP"/>
      <sheetName val="A3800"/>
      <sheetName val="L9200L5610"/>
      <sheetName val="wip addition"/>
      <sheetName val="Transfer Out"/>
      <sheetName val="Sam"/>
      <sheetName val="Char"/>
      <sheetName val="Sheet1"/>
      <sheetName val="Sheet2"/>
      <sheetName val="Compatibility Report"/>
      <sheetName val="Stock Data"/>
      <sheetName val="Energy Cost"/>
      <sheetName val="SMD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9">
          <cell r="B9">
            <v>1100</v>
          </cell>
        </row>
      </sheetData>
      <sheetData sheetId="56">
        <row r="9">
          <cell r="B9">
            <v>1100</v>
          </cell>
        </row>
      </sheetData>
      <sheetData sheetId="57">
        <row r="9">
          <cell r="B9">
            <v>1100</v>
          </cell>
        </row>
      </sheetData>
      <sheetData sheetId="58">
        <row r="9">
          <cell r="B9">
            <v>1100</v>
          </cell>
        </row>
      </sheetData>
      <sheetData sheetId="59"/>
      <sheetData sheetId="60">
        <row r="9">
          <cell r="B9">
            <v>1100</v>
          </cell>
        </row>
      </sheetData>
      <sheetData sheetId="61">
        <row r="9">
          <cell r="B9">
            <v>1100</v>
          </cell>
        </row>
      </sheetData>
      <sheetData sheetId="62">
        <row r="9">
          <cell r="B9">
            <v>1100</v>
          </cell>
        </row>
      </sheetData>
      <sheetData sheetId="63">
        <row r="9">
          <cell r="B9">
            <v>1100</v>
          </cell>
        </row>
      </sheetData>
      <sheetData sheetId="64">
        <row r="9">
          <cell r="B9">
            <v>1100</v>
          </cell>
        </row>
      </sheetData>
      <sheetData sheetId="65">
        <row r="9">
          <cell r="B9">
            <v>1100</v>
          </cell>
        </row>
      </sheetData>
      <sheetData sheetId="66">
        <row r="9">
          <cell r="B9">
            <v>1100</v>
          </cell>
        </row>
      </sheetData>
      <sheetData sheetId="67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337868615.93000001</v>
          </cell>
          <cell r="E11">
            <v>337868615.93000001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409798808.38999999</v>
          </cell>
          <cell r="E13">
            <v>409798808.38999999</v>
          </cell>
        </row>
        <row r="14">
          <cell r="B14">
            <v>1125</v>
          </cell>
          <cell r="C14" t="str">
            <v>Fixed charges on Electricity Bills</v>
          </cell>
          <cell r="D14">
            <v>67397160</v>
          </cell>
          <cell r="E14">
            <v>67397160</v>
          </cell>
        </row>
        <row r="15">
          <cell r="B15">
            <v>1200</v>
          </cell>
          <cell r="C15" t="str">
            <v>Fuel Surcharge Account</v>
          </cell>
          <cell r="D15">
            <v>104425512.70999999</v>
          </cell>
          <cell r="E15">
            <v>104425512.70999999</v>
          </cell>
        </row>
        <row r="16">
          <cell r="C16" t="str">
            <v>SUB TOTAL OF TURNOVER</v>
          </cell>
          <cell r="D16">
            <v>919490097.02999997</v>
          </cell>
          <cell r="E16">
            <v>919490097.02999997</v>
          </cell>
        </row>
        <row r="17">
          <cell r="C17" t="str">
            <v xml:space="preserve"> INTEREST INCOME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779498.98</v>
          </cell>
          <cell r="E19">
            <v>779498.98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C21" t="str">
            <v>SUB TOTAL OF INTEREST INCOME</v>
          </cell>
          <cell r="D21">
            <v>779498.98</v>
          </cell>
          <cell r="E21">
            <v>779498.98</v>
          </cell>
        </row>
        <row r="22">
          <cell r="C22" t="str">
            <v>DIVIDEND INCOME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</row>
        <row r="24">
          <cell r="C24" t="str">
            <v>SUB TOTAL OF DIVIDEND INCOME</v>
          </cell>
          <cell r="D24">
            <v>0</v>
          </cell>
          <cell r="E24">
            <v>0</v>
          </cell>
        </row>
        <row r="25">
          <cell r="C25" t="str">
            <v xml:space="preserve"> OVERHEAD RECOVERIES</v>
          </cell>
        </row>
        <row r="26">
          <cell r="B26">
            <v>1330</v>
          </cell>
          <cell r="C26" t="str">
            <v>Overhead Recoveries Account</v>
          </cell>
          <cell r="D26">
            <v>3993558.54</v>
          </cell>
          <cell r="E26">
            <v>3993558.54</v>
          </cell>
        </row>
        <row r="27">
          <cell r="B27">
            <v>1510</v>
          </cell>
          <cell r="C27" t="str">
            <v>Recoveries on House Rent Account</v>
          </cell>
          <cell r="D27">
            <v>72397</v>
          </cell>
          <cell r="E27">
            <v>72397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</row>
        <row r="32">
          <cell r="C32" t="str">
            <v>SUB TOTAL OF OVERHEAD RECOVERIES</v>
          </cell>
          <cell r="D32">
            <v>4065955.54</v>
          </cell>
          <cell r="E32">
            <v>4065955.54</v>
          </cell>
        </row>
        <row r="33">
          <cell r="C33" t="str">
            <v xml:space="preserve"> PROFIT / LOSS ON DISPOSAl OF PPE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</row>
        <row r="36">
          <cell r="C36" t="str">
            <v>SUB TOTAL OF PROFIT / LOSS ON DISPOSAl OF PPE</v>
          </cell>
          <cell r="D36">
            <v>0</v>
          </cell>
          <cell r="E36">
            <v>0</v>
          </cell>
        </row>
        <row r="37">
          <cell r="C37" t="str">
            <v xml:space="preserve"> MISSELANIOUS INCOME</v>
          </cell>
        </row>
        <row r="38">
          <cell r="B38">
            <v>1130</v>
          </cell>
          <cell r="C38" t="str">
            <v>Surcharge on Electricity Bills Account</v>
          </cell>
          <cell r="D38">
            <v>6959700.5199999996</v>
          </cell>
          <cell r="E38">
            <v>6959700.5199999996</v>
          </cell>
        </row>
        <row r="39">
          <cell r="B39">
            <v>1300</v>
          </cell>
          <cell r="C39" t="str">
            <v>Miscellaneous Income Account</v>
          </cell>
          <cell r="D39">
            <v>2263467.66</v>
          </cell>
          <cell r="E39">
            <v>2263467.66</v>
          </cell>
        </row>
        <row r="40">
          <cell r="B40">
            <v>1305</v>
          </cell>
          <cell r="C40" t="str">
            <v>Samurdhi Loan Interest  Account</v>
          </cell>
          <cell r="D40">
            <v>886581.39</v>
          </cell>
          <cell r="E40">
            <v>886581.39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211021</v>
          </cell>
          <cell r="E42">
            <v>211021</v>
          </cell>
        </row>
        <row r="43">
          <cell r="B43">
            <v>1320</v>
          </cell>
          <cell r="C43" t="str">
            <v>Re-usable Material Account</v>
          </cell>
          <cell r="D43">
            <v>52717.5</v>
          </cell>
          <cell r="E43">
            <v>52717.5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705456.82</v>
          </cell>
          <cell r="E45">
            <v>705456.82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15000</v>
          </cell>
          <cell r="E46">
            <v>15000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2701</v>
          </cell>
          <cell r="E47">
            <v>2701</v>
          </cell>
        </row>
        <row r="48">
          <cell r="B48">
            <v>1370</v>
          </cell>
          <cell r="C48" t="str">
            <v>Income on Cost Recovery Jobs Account</v>
          </cell>
          <cell r="D48">
            <v>4506697.33</v>
          </cell>
          <cell r="E48">
            <v>4506697.33</v>
          </cell>
        </row>
        <row r="49">
          <cell r="B49">
            <v>1380</v>
          </cell>
          <cell r="C49" t="str">
            <v>Service Main Application Fee Account</v>
          </cell>
          <cell r="D49">
            <v>593840</v>
          </cell>
          <cell r="E49">
            <v>593840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C52" t="str">
            <v>SUB TOTAL OF MISSELANIOUS INCOME</v>
          </cell>
          <cell r="D52">
            <v>16197183.220000001</v>
          </cell>
          <cell r="E52">
            <v>16197183.220000001</v>
          </cell>
        </row>
        <row r="53">
          <cell r="C53" t="str">
            <v>TOTAL INCOME</v>
          </cell>
          <cell r="D53">
            <v>940532734.76999998</v>
          </cell>
          <cell r="E53">
            <v>940532734.76999998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D55">
            <v>2163956.7200000002</v>
          </cell>
          <cell r="E55">
            <v>2163956.7200000002</v>
          </cell>
        </row>
        <row r="56">
          <cell r="B56">
            <v>2110</v>
          </cell>
          <cell r="C56" t="str">
            <v>Management Staff Allowances Account</v>
          </cell>
          <cell r="D56">
            <v>535582.38</v>
          </cell>
          <cell r="E56">
            <v>535582.38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21164964.289999999</v>
          </cell>
          <cell r="E58">
            <v>21164964.289999999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10638592.140000001</v>
          </cell>
          <cell r="E60">
            <v>10638592.140000001</v>
          </cell>
        </row>
        <row r="61">
          <cell r="B61">
            <v>2310</v>
          </cell>
          <cell r="C61" t="str">
            <v>Other Staff Allowances Account</v>
          </cell>
          <cell r="D61">
            <v>1063020.46</v>
          </cell>
          <cell r="E61">
            <v>1063020.46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22197505.739999998</v>
          </cell>
          <cell r="E64">
            <v>22197505.739999998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9148009.5999999996</v>
          </cell>
          <cell r="E67">
            <v>9148009.5999999996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</row>
        <row r="69">
          <cell r="B69">
            <v>2340</v>
          </cell>
          <cell r="C69" t="str">
            <v>Labor Rate Variance Account</v>
          </cell>
          <cell r="D69">
            <v>-9353854.6899999995</v>
          </cell>
          <cell r="E69">
            <v>-9353854.6899999995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70725.75</v>
          </cell>
          <cell r="E70">
            <v>70725.75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2662446.0499999998</v>
          </cell>
          <cell r="E71">
            <v>2662446.0499999998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3460010.17</v>
          </cell>
          <cell r="E73">
            <v>3460010.17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3517096.35</v>
          </cell>
          <cell r="E76">
            <v>3517096.35</v>
          </cell>
        </row>
        <row r="77">
          <cell r="B77">
            <v>2540</v>
          </cell>
          <cell r="C77" t="str">
            <v>Allowances to Trainees Account</v>
          </cell>
          <cell r="D77">
            <v>538075</v>
          </cell>
          <cell r="E77">
            <v>538075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0</v>
          </cell>
          <cell r="E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17200</v>
          </cell>
          <cell r="E82">
            <v>17200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0</v>
          </cell>
          <cell r="E84">
            <v>0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0</v>
          </cell>
          <cell r="E87">
            <v>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1166490.08</v>
          </cell>
          <cell r="E89">
            <v>1166490.08</v>
          </cell>
        </row>
        <row r="90">
          <cell r="B90">
            <v>2641</v>
          </cell>
          <cell r="C90" t="str">
            <v>Medical Expenses  - Out door Account</v>
          </cell>
          <cell r="D90">
            <v>941225.45</v>
          </cell>
          <cell r="E90">
            <v>941225.45</v>
          </cell>
        </row>
        <row r="91">
          <cell r="B91">
            <v>2650</v>
          </cell>
          <cell r="C91" t="str">
            <v>Uniforms &amp; Protective Clothing Account</v>
          </cell>
          <cell r="D91">
            <v>605568.5</v>
          </cell>
          <cell r="E91">
            <v>605568.5</v>
          </cell>
        </row>
        <row r="92">
          <cell r="B92">
            <v>2660</v>
          </cell>
          <cell r="C92" t="str">
            <v>Reimbursement of loan Interest Account</v>
          </cell>
          <cell r="D92">
            <v>4693822.51</v>
          </cell>
          <cell r="E92">
            <v>4693822.51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0</v>
          </cell>
        </row>
        <row r="94">
          <cell r="B94">
            <v>2680</v>
          </cell>
          <cell r="C94" t="str">
            <v>CEB Pension Fund Account</v>
          </cell>
          <cell r="D94">
            <v>3215946.18</v>
          </cell>
          <cell r="E94">
            <v>3215946.18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1565220.88</v>
          </cell>
          <cell r="E96">
            <v>1565220.88</v>
          </cell>
        </row>
        <row r="97">
          <cell r="B97">
            <v>2710</v>
          </cell>
          <cell r="C97" t="str">
            <v>CEB Provident Fund Account</v>
          </cell>
          <cell r="D97">
            <v>5679792.7000000002</v>
          </cell>
          <cell r="E97">
            <v>5679792.7000000002</v>
          </cell>
        </row>
        <row r="98">
          <cell r="C98" t="str">
            <v>personel cost on pension fund</v>
          </cell>
          <cell r="D98">
            <v>0</v>
          </cell>
          <cell r="E98">
            <v>0</v>
          </cell>
        </row>
        <row r="99">
          <cell r="C99" t="str">
            <v>PERSONNEL EXPENSES - SUB TOTAL</v>
          </cell>
          <cell r="D99">
            <v>85691396.26000002</v>
          </cell>
          <cell r="E99">
            <v>85691396.26000002</v>
          </cell>
        </row>
        <row r="100">
          <cell r="C100" t="str">
            <v xml:space="preserve"> MATERIAL COST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587897709</v>
          </cell>
          <cell r="E104">
            <v>587897709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51252343.479999997</v>
          </cell>
          <cell r="E110">
            <v>51252343.479999997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</row>
        <row r="115">
          <cell r="B115">
            <v>3212</v>
          </cell>
          <cell r="C115" t="str">
            <v>Expenses on Tug Boats and Barges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0</v>
          </cell>
        </row>
        <row r="119">
          <cell r="B119">
            <v>3300</v>
          </cell>
          <cell r="C119" t="str">
            <v>Loose Tools Account</v>
          </cell>
          <cell r="D119">
            <v>411639.55</v>
          </cell>
          <cell r="E119">
            <v>411639.55</v>
          </cell>
        </row>
        <row r="120">
          <cell r="B120">
            <v>3410</v>
          </cell>
          <cell r="C120" t="str">
            <v>Stores Discrepancies Account</v>
          </cell>
          <cell r="D120">
            <v>-3107.75</v>
          </cell>
          <cell r="E120">
            <v>-3107.75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4662031.71</v>
          </cell>
          <cell r="E122">
            <v>4662031.71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-290793.21000000002</v>
          </cell>
          <cell r="E123">
            <v>-290793.21000000002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C125" t="str">
            <v>MATERIAL COST - SUB TOTAL</v>
          </cell>
          <cell r="D125">
            <v>643929822.77999997</v>
          </cell>
          <cell r="E125">
            <v>643929822.77999997</v>
          </cell>
        </row>
        <row r="126">
          <cell r="C126" t="str">
            <v>ACCOMMODATION EXPENSES</v>
          </cell>
        </row>
        <row r="127">
          <cell r="B127">
            <v>4100</v>
          </cell>
          <cell r="C127" t="str">
            <v>Housing Rent and Rates Account</v>
          </cell>
          <cell r="D127">
            <v>1133400</v>
          </cell>
          <cell r="E127">
            <v>1133400</v>
          </cell>
        </row>
        <row r="128">
          <cell r="B128">
            <v>4110</v>
          </cell>
          <cell r="C128" t="str">
            <v>Building Maintenance Account</v>
          </cell>
          <cell r="D128">
            <v>1189371.8899999999</v>
          </cell>
          <cell r="E128">
            <v>1189371.8899999999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811282.4</v>
          </cell>
          <cell r="E130">
            <v>811282.4</v>
          </cell>
        </row>
        <row r="131">
          <cell r="B131">
            <v>4300</v>
          </cell>
          <cell r="C131" t="str">
            <v>Electricity  Consumption Account</v>
          </cell>
          <cell r="D131">
            <v>321984.28999999998</v>
          </cell>
          <cell r="E131">
            <v>321984.28999999998</v>
          </cell>
        </row>
        <row r="132">
          <cell r="B132">
            <v>4400</v>
          </cell>
          <cell r="C132" t="str">
            <v>Water Supply Charges Account</v>
          </cell>
          <cell r="D132">
            <v>77941.19</v>
          </cell>
          <cell r="E132">
            <v>77941.19</v>
          </cell>
        </row>
        <row r="133">
          <cell r="C133" t="str">
            <v>ACCOMMODATION EXPENSES - SUB TOTAL</v>
          </cell>
          <cell r="D133">
            <v>3533979.7699999996</v>
          </cell>
          <cell r="E133">
            <v>3533979.7699999996</v>
          </cell>
        </row>
        <row r="134">
          <cell r="C134" t="str">
            <v>TRANSPORT &amp; COMMUNICATION EXPENSES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1729062</v>
          </cell>
          <cell r="E135">
            <v>1729062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7153917.04</v>
          </cell>
          <cell r="E137">
            <v>7153917.04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5727166.9199999999</v>
          </cell>
          <cell r="E138">
            <v>5727166.9199999999</v>
          </cell>
        </row>
        <row r="139">
          <cell r="B139">
            <v>5220</v>
          </cell>
          <cell r="C139" t="str">
            <v>Vehicle Hire Charges Account</v>
          </cell>
          <cell r="D139">
            <v>4960224.95</v>
          </cell>
          <cell r="E139">
            <v>4960224.95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1418861.39</v>
          </cell>
          <cell r="E141">
            <v>1418861.39</v>
          </cell>
        </row>
        <row r="142">
          <cell r="B142">
            <v>5310</v>
          </cell>
          <cell r="C142" t="str">
            <v>Postage Account</v>
          </cell>
          <cell r="D142">
            <v>70000</v>
          </cell>
          <cell r="E142">
            <v>70000</v>
          </cell>
        </row>
        <row r="143">
          <cell r="B143">
            <v>5320</v>
          </cell>
          <cell r="C143" t="str">
            <v>Telecommunications Account</v>
          </cell>
          <cell r="D143">
            <v>349275.65</v>
          </cell>
          <cell r="E143">
            <v>349275.65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</v>
          </cell>
          <cell r="D145">
            <v>384202.5</v>
          </cell>
          <cell r="E145">
            <v>384202.5</v>
          </cell>
        </row>
        <row r="146">
          <cell r="B146">
            <v>5323</v>
          </cell>
          <cell r="C146" t="str">
            <v>Expenses on Software licenses and  maintenance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D147">
            <v>0</v>
          </cell>
          <cell r="E147">
            <v>0</v>
          </cell>
        </row>
        <row r="148">
          <cell r="C148" t="str">
            <v>TRANSPORT &amp; COMMUNICATION EXP. - SUB TOTAL</v>
          </cell>
          <cell r="D148">
            <v>21792710.449999999</v>
          </cell>
          <cell r="E148">
            <v>21792710.449999999</v>
          </cell>
        </row>
        <row r="149">
          <cell r="C149" t="str">
            <v xml:space="preserve"> DEPRECIATION</v>
          </cell>
        </row>
        <row r="150">
          <cell r="B150">
            <v>6000</v>
          </cell>
          <cell r="C150" t="str">
            <v>Depreciation Account</v>
          </cell>
          <cell r="D150">
            <v>0</v>
          </cell>
          <cell r="E150">
            <v>0</v>
          </cell>
        </row>
        <row r="151">
          <cell r="C151" t="str">
            <v>DEPRECIATION - SUB TOTAL</v>
          </cell>
          <cell r="D151">
            <v>0</v>
          </cell>
          <cell r="E151">
            <v>0</v>
          </cell>
        </row>
        <row r="152">
          <cell r="C152" t="str">
            <v xml:space="preserve"> OTHER EXPENSES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1377875.48</v>
          </cell>
          <cell r="E154">
            <v>1377875.48</v>
          </cell>
        </row>
        <row r="155">
          <cell r="B155">
            <v>7211</v>
          </cell>
          <cell r="C155" t="str">
            <v>Payment to Manpower Agencies Account</v>
          </cell>
          <cell r="D155">
            <v>18881333.359999999</v>
          </cell>
          <cell r="E155">
            <v>18881333.359999999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9265</v>
          </cell>
          <cell r="E168">
            <v>9265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</row>
        <row r="170">
          <cell r="B170">
            <v>7510</v>
          </cell>
          <cell r="C170" t="str">
            <v>Entertainment Account</v>
          </cell>
          <cell r="D170">
            <v>48576</v>
          </cell>
          <cell r="E170">
            <v>48576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758040</v>
          </cell>
          <cell r="E172">
            <v>758040</v>
          </cell>
        </row>
        <row r="173">
          <cell r="B173">
            <v>7600</v>
          </cell>
          <cell r="C173" t="str">
            <v>Insurance Premiums Account</v>
          </cell>
          <cell r="D173">
            <v>13945.38</v>
          </cell>
          <cell r="E173">
            <v>13945.38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337500</v>
          </cell>
          <cell r="E176">
            <v>337500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156527835.72999999</v>
          </cell>
          <cell r="E179">
            <v>156527835.72999999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230137.66</v>
          </cell>
          <cell r="E182">
            <v>230137.66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36668</v>
          </cell>
          <cell r="E184">
            <v>36668</v>
          </cell>
        </row>
        <row r="185">
          <cell r="B185">
            <v>7830</v>
          </cell>
          <cell r="C185" t="str">
            <v>Way Leaves Account</v>
          </cell>
          <cell r="D185">
            <v>7341438.5</v>
          </cell>
          <cell r="E185">
            <v>7341438.5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1290</v>
          </cell>
          <cell r="E186">
            <v>1290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>Expenses on Cost Recovery Traning</v>
          </cell>
          <cell r="D191">
            <v>0</v>
          </cell>
          <cell r="E191">
            <v>0</v>
          </cell>
        </row>
        <row r="192">
          <cell r="C192" t="str">
            <v>OTHER EXPENSES - SUB TOTAL</v>
          </cell>
          <cell r="D192">
            <v>185563905.10999998</v>
          </cell>
          <cell r="E192">
            <v>185563905.10999998</v>
          </cell>
        </row>
        <row r="193">
          <cell r="C193" t="str">
            <v>FINANCE COST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20920.400000000001</v>
          </cell>
          <cell r="E196">
            <v>20920.400000000001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</row>
        <row r="208">
          <cell r="B208">
            <v>9300</v>
          </cell>
          <cell r="C208" t="str">
            <v>Deferred Tax Expense / (Income) - Net</v>
          </cell>
          <cell r="D208">
            <v>0</v>
          </cell>
          <cell r="E208">
            <v>0</v>
          </cell>
        </row>
        <row r="209">
          <cell r="C209" t="str">
            <v>FINANCE COST - SUB TOTAL</v>
          </cell>
          <cell r="D209">
            <v>20920.400000000001</v>
          </cell>
          <cell r="E209">
            <v>20920.400000000001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erence"/>
      <sheetName val="MGS"/>
      <sheetName val="Sheet6"/>
      <sheetName val="CF Print (2)"/>
      <sheetName val="CONSOLIDATED TB"/>
      <sheetName val="CONSOLIDATED CS"/>
      <sheetName val="Annex 04"/>
      <sheetName val="Annex 05"/>
      <sheetName val="Annex 06"/>
      <sheetName val="Annex 07"/>
      <sheetName val="Annex 08"/>
      <sheetName val="Annex 09.1(a)"/>
      <sheetName val="Annex 09.1(b)"/>
      <sheetName val="PPE new "/>
      <sheetName val="Annex 09.3"/>
      <sheetName val="Annex 09.3 a"/>
      <sheetName val="10.4"/>
      <sheetName val="P&amp;L Presentation Format"/>
      <sheetName val="P&amp;l "/>
      <sheetName val="B.S "/>
      <sheetName val="B.S Notes"/>
      <sheetName val="CS W&amp;AS"/>
      <sheetName val="TB-W&amp;AS "/>
      <sheetName val="P&amp;L Notes"/>
      <sheetName val="CF Print"/>
      <sheetName val="PPEnew"/>
      <sheetName val="Cu AC "/>
      <sheetName val="TB-960"/>
      <sheetName val="CS  -960"/>
      <sheetName val="TB -PMU"/>
      <sheetName val="TB NORTH WESTERN"/>
      <sheetName val="CS COLOMBO CITI "/>
      <sheetName val="CS NORTH WESTERN"/>
      <sheetName val="Sam"/>
      <sheetName val="Char"/>
      <sheetName val="Sheet1"/>
      <sheetName val="Sheet2"/>
      <sheetName val="Sheet5"/>
      <sheetName val="Sheet3"/>
      <sheetName val="Inter transfer of PPE"/>
      <sheetName val="Sheet7"/>
      <sheetName val="15"/>
      <sheetName val="Sheet4"/>
      <sheetName val="Sheet8"/>
      <sheetName val="Breakup"/>
      <sheetName val="Sheet9"/>
      <sheetName val="10.5"/>
      <sheetName val="11.1"/>
      <sheetName val="11.2"/>
      <sheetName val="16"/>
      <sheetName val="13"/>
      <sheetName val="14 (2)"/>
      <sheetName val="14"/>
      <sheetName val="17"/>
      <sheetName val="18"/>
      <sheetName val="Current Account breakup"/>
      <sheetName val="Annex 01"/>
      <sheetName val="CS PHM"/>
      <sheetName val="CS LSHP"/>
      <sheetName val="CS METER L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7">
          <cell r="B7">
            <v>1100</v>
          </cell>
          <cell r="C7" t="str">
            <v>Energy Sales - generation to Transmission</v>
          </cell>
          <cell r="D7">
            <v>0</v>
          </cell>
          <cell r="E7">
            <v>0</v>
          </cell>
        </row>
        <row r="8">
          <cell r="B8">
            <v>1105</v>
          </cell>
          <cell r="C8" t="str">
            <v>Energy Sales to Distribution Group</v>
          </cell>
          <cell r="D8">
            <v>0</v>
          </cell>
          <cell r="E8">
            <v>0</v>
          </cell>
        </row>
        <row r="9">
          <cell r="B9">
            <v>1110</v>
          </cell>
          <cell r="C9" t="str">
            <v>Electricity Sales Heavy Supply Account</v>
          </cell>
          <cell r="D9">
            <v>0</v>
          </cell>
          <cell r="E9">
            <v>0</v>
          </cell>
        </row>
        <row r="10">
          <cell r="B10">
            <v>1111</v>
          </cell>
          <cell r="C10" t="str">
            <v>Electricity Sales Heavy Supply  - LECO Account</v>
          </cell>
          <cell r="D10">
            <v>0</v>
          </cell>
          <cell r="E10">
            <v>0</v>
          </cell>
        </row>
        <row r="11">
          <cell r="B11">
            <v>1120</v>
          </cell>
          <cell r="C11" t="str">
            <v>Electricity Sales Ordinary Supply Account</v>
          </cell>
          <cell r="D11">
            <v>0</v>
          </cell>
          <cell r="E11">
            <v>0</v>
          </cell>
        </row>
        <row r="12">
          <cell r="B12">
            <v>1125</v>
          </cell>
          <cell r="C12" t="str">
            <v>Fixed charges on Electricity Bills</v>
          </cell>
          <cell r="D12">
            <v>0</v>
          </cell>
          <cell r="E12">
            <v>0</v>
          </cell>
        </row>
        <row r="13">
          <cell r="B13">
            <v>1200</v>
          </cell>
          <cell r="C13" t="str">
            <v>Fuel Surcharge Account</v>
          </cell>
          <cell r="D13">
            <v>0</v>
          </cell>
          <cell r="E13">
            <v>0</v>
          </cell>
        </row>
        <row r="14">
          <cell r="C14" t="str">
            <v>SUB TOTAL OF TURNOVER</v>
          </cell>
          <cell r="D14">
            <v>0</v>
          </cell>
          <cell r="E14">
            <v>0</v>
          </cell>
        </row>
        <row r="15">
          <cell r="C15" t="str">
            <v xml:space="preserve"> INTEREST INCOME</v>
          </cell>
          <cell r="D15">
            <v>0</v>
          </cell>
          <cell r="E15">
            <v>0</v>
          </cell>
        </row>
        <row r="16">
          <cell r="B16">
            <v>1400</v>
          </cell>
          <cell r="C16" t="str">
            <v>Interest on Investment Account</v>
          </cell>
          <cell r="D16">
            <v>0</v>
          </cell>
          <cell r="E16">
            <v>0</v>
          </cell>
        </row>
        <row r="17">
          <cell r="B17">
            <v>1420</v>
          </cell>
          <cell r="C17" t="str">
            <v>Interest on Staff Loan Account</v>
          </cell>
          <cell r="D17">
            <v>7302033.0599999996</v>
          </cell>
          <cell r="E17">
            <v>7302033.0599999996</v>
          </cell>
        </row>
        <row r="18">
          <cell r="B18">
            <v>1425</v>
          </cell>
          <cell r="C18" t="str">
            <v>Rebate on Long Term Loan Interest Account</v>
          </cell>
          <cell r="D18">
            <v>0</v>
          </cell>
          <cell r="E18">
            <v>0</v>
          </cell>
        </row>
        <row r="19">
          <cell r="C19" t="str">
            <v>SUB TOTAL OF INTEREST INCOME</v>
          </cell>
          <cell r="D19">
            <v>7302033.0599999996</v>
          </cell>
          <cell r="E19">
            <v>7302033.0599999996</v>
          </cell>
        </row>
        <row r="20">
          <cell r="C20" t="str">
            <v>DIVIDEND INCOME</v>
          </cell>
          <cell r="D20">
            <v>0</v>
          </cell>
        </row>
        <row r="21">
          <cell r="B21">
            <v>1210</v>
          </cell>
          <cell r="C21" t="str">
            <v xml:space="preserve">Dividends Account  </v>
          </cell>
          <cell r="D21">
            <v>0</v>
          </cell>
          <cell r="E21">
            <v>0</v>
          </cell>
        </row>
        <row r="22">
          <cell r="C22" t="str">
            <v>SUB TOTAL OF DIVIDEND INCOME</v>
          </cell>
          <cell r="D22">
            <v>0</v>
          </cell>
          <cell r="E22">
            <v>0</v>
          </cell>
        </row>
        <row r="23">
          <cell r="C23" t="str">
            <v xml:space="preserve"> OVERHEAD RECOVERIES</v>
          </cell>
          <cell r="D23">
            <v>0</v>
          </cell>
        </row>
        <row r="24">
          <cell r="B24">
            <v>1330</v>
          </cell>
          <cell r="C24" t="str">
            <v>Overhead Recoveries Account</v>
          </cell>
          <cell r="D24">
            <v>0</v>
          </cell>
          <cell r="E24">
            <v>0</v>
          </cell>
        </row>
        <row r="25">
          <cell r="B25">
            <v>1510</v>
          </cell>
          <cell r="C25" t="str">
            <v>Recoveries on House Rent Account</v>
          </cell>
          <cell r="D25">
            <v>68266.5</v>
          </cell>
          <cell r="E25">
            <v>68266.5</v>
          </cell>
        </row>
        <row r="26">
          <cell r="B26">
            <v>1520</v>
          </cell>
          <cell r="C26" t="str">
            <v>Recoveries on Telephone Account</v>
          </cell>
          <cell r="D26">
            <v>13647.65</v>
          </cell>
          <cell r="E26">
            <v>13647.65</v>
          </cell>
        </row>
        <row r="27">
          <cell r="B27">
            <v>1530</v>
          </cell>
          <cell r="C27" t="str">
            <v>Recoveries on Use of Motor Vehicle Account</v>
          </cell>
          <cell r="D27">
            <v>34843.599999999999</v>
          </cell>
          <cell r="E27">
            <v>34843.599999999999</v>
          </cell>
        </row>
        <row r="28">
          <cell r="B28">
            <v>1540</v>
          </cell>
          <cell r="C28" t="str">
            <v>Recoveries on Circuit Bungalow Account</v>
          </cell>
          <cell r="D28">
            <v>0</v>
          </cell>
          <cell r="E28">
            <v>0</v>
          </cell>
        </row>
        <row r="29">
          <cell r="B29">
            <v>1550</v>
          </cell>
          <cell r="C29" t="str">
            <v>Recoveries of Damages to the CEB Assets Account</v>
          </cell>
          <cell r="D29">
            <v>17285.48</v>
          </cell>
          <cell r="E29">
            <v>17285.48</v>
          </cell>
        </row>
        <row r="30">
          <cell r="B30" t="str">
            <v>1551</v>
          </cell>
          <cell r="C30" t="str">
            <v>Income on amortized Government Grant***</v>
          </cell>
        </row>
        <row r="31">
          <cell r="B31" t="str">
            <v>1552</v>
          </cell>
          <cell r="C31" t="str">
            <v>Income on amortized Consumer Contribution***</v>
          </cell>
        </row>
        <row r="32">
          <cell r="C32" t="str">
            <v>SUB TOTAL OF OVERHEAD RECOVERIES</v>
          </cell>
          <cell r="D32">
            <v>134043.23000000001</v>
          </cell>
          <cell r="E32">
            <v>134043.23000000001</v>
          </cell>
        </row>
        <row r="33">
          <cell r="C33" t="str">
            <v xml:space="preserve"> PROFIT / LOSS ON DISPOSAl OF PPE</v>
          </cell>
          <cell r="D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812000</v>
          </cell>
          <cell r="E34">
            <v>812000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</row>
        <row r="36">
          <cell r="C36" t="str">
            <v>SUB TOTAL OF PROFIT / LOSS ON DISPOSAl OF PPE</v>
          </cell>
          <cell r="D36">
            <v>812000</v>
          </cell>
          <cell r="E36">
            <v>812000</v>
          </cell>
        </row>
        <row r="37">
          <cell r="C37" t="str">
            <v xml:space="preserve"> MISSELANIOUS INCOME</v>
          </cell>
          <cell r="D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</row>
        <row r="39">
          <cell r="B39">
            <v>1300</v>
          </cell>
          <cell r="C39" t="str">
            <v>Miscellaneous Income Account</v>
          </cell>
          <cell r="D39">
            <v>572361</v>
          </cell>
          <cell r="E39">
            <v>572361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</row>
        <row r="43">
          <cell r="B43">
            <v>1320</v>
          </cell>
          <cell r="C43" t="str">
            <v>Re-usable Material Account</v>
          </cell>
          <cell r="D43">
            <v>0</v>
          </cell>
          <cell r="E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0</v>
          </cell>
          <cell r="E45">
            <v>0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5200</v>
          </cell>
          <cell r="E46">
            <v>5200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C52" t="str">
            <v>SUB TOTAL OF MISSELANIOUS INCOME</v>
          </cell>
          <cell r="D52">
            <v>577561</v>
          </cell>
          <cell r="E52">
            <v>577561</v>
          </cell>
        </row>
        <row r="53">
          <cell r="C53" t="str">
            <v>TOTAL INCOME</v>
          </cell>
          <cell r="D53">
            <v>8825637.2899999991</v>
          </cell>
          <cell r="E53">
            <v>8825637.2899999991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D55">
            <v>9943824.6099999994</v>
          </cell>
          <cell r="E55">
            <v>9943824.6099999994</v>
          </cell>
        </row>
        <row r="56">
          <cell r="B56">
            <v>2110</v>
          </cell>
          <cell r="C56" t="str">
            <v>Management Staff Allowances Account</v>
          </cell>
          <cell r="D56">
            <v>2492846.9400000004</v>
          </cell>
          <cell r="E56">
            <v>2492846.9400000004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8567578.9800000004</v>
          </cell>
          <cell r="E58">
            <v>8567578.9800000004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2063974.6500000001</v>
          </cell>
          <cell r="E60">
            <v>2063974.6500000001</v>
          </cell>
        </row>
        <row r="61">
          <cell r="B61">
            <v>2310</v>
          </cell>
          <cell r="C61" t="str">
            <v>Other Staff Allowances Account</v>
          </cell>
          <cell r="D61">
            <v>361602.27</v>
          </cell>
          <cell r="E61">
            <v>361602.27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0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0</v>
          </cell>
        </row>
        <row r="68">
          <cell r="B68">
            <v>2334</v>
          </cell>
          <cell r="C68" t="str">
            <v>Contract Employee Cost Account</v>
          </cell>
          <cell r="D68">
            <v>381333.33</v>
          </cell>
          <cell r="E68">
            <v>381333.33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0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303310.5</v>
          </cell>
          <cell r="E70">
            <v>303310.5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11312.77</v>
          </cell>
          <cell r="E71">
            <v>11312.77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10615.5</v>
          </cell>
          <cell r="E73">
            <v>10615.5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8731.1</v>
          </cell>
          <cell r="E76">
            <v>8731.1</v>
          </cell>
        </row>
        <row r="77">
          <cell r="B77">
            <v>2540</v>
          </cell>
          <cell r="C77" t="str">
            <v>Allowances to Trainees Account</v>
          </cell>
          <cell r="D77">
            <v>597950</v>
          </cell>
          <cell r="E77">
            <v>597950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147780</v>
          </cell>
          <cell r="E79">
            <v>147780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0</v>
          </cell>
          <cell r="E82">
            <v>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124391.20999999999</v>
          </cell>
          <cell r="E84">
            <v>124391.20999999999</v>
          </cell>
        </row>
        <row r="85">
          <cell r="B85">
            <v>2630</v>
          </cell>
          <cell r="C85" t="str">
            <v>Staff Welfare Account</v>
          </cell>
          <cell r="D85">
            <v>36273</v>
          </cell>
          <cell r="E85">
            <v>36273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700</v>
          </cell>
          <cell r="E87">
            <v>700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33898.740000000005</v>
          </cell>
          <cell r="E88">
            <v>33898.740000000005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948994.03</v>
          </cell>
          <cell r="E89">
            <v>948994.03</v>
          </cell>
        </row>
        <row r="90">
          <cell r="B90">
            <v>2641</v>
          </cell>
          <cell r="C90" t="str">
            <v>Medical Expenses  - Out door Account</v>
          </cell>
          <cell r="D90">
            <v>-947212.96</v>
          </cell>
          <cell r="E90">
            <v>-947212.96</v>
          </cell>
        </row>
        <row r="91">
          <cell r="B91">
            <v>2650</v>
          </cell>
          <cell r="C91" t="str">
            <v>Uniforms &amp; Protective Clothing Account</v>
          </cell>
          <cell r="D91">
            <v>58393</v>
          </cell>
          <cell r="E91">
            <v>58393</v>
          </cell>
        </row>
        <row r="92">
          <cell r="B92">
            <v>2660</v>
          </cell>
          <cell r="C92" t="str">
            <v>Reimbursement of loan Interest Account</v>
          </cell>
          <cell r="D92">
            <v>2950823.9699999997</v>
          </cell>
          <cell r="E92">
            <v>2950823.9699999997</v>
          </cell>
        </row>
        <row r="93">
          <cell r="B93">
            <v>2670</v>
          </cell>
          <cell r="C93" t="str">
            <v>PAYE Tax  Account</v>
          </cell>
          <cell r="D93">
            <v>948999.52</v>
          </cell>
          <cell r="E93">
            <v>948999.52</v>
          </cell>
        </row>
        <row r="94">
          <cell r="B94">
            <v>2680</v>
          </cell>
          <cell r="C94" t="str">
            <v>CEB Pension Fund Account</v>
          </cell>
          <cell r="D94">
            <v>1604351.3900000001</v>
          </cell>
          <cell r="E94">
            <v>1604351.3900000001</v>
          </cell>
        </row>
        <row r="95">
          <cell r="B95">
            <v>2681</v>
          </cell>
          <cell r="C95" t="str">
            <v>Pension to EXDGEU Account</v>
          </cell>
          <cell r="D95">
            <v>617.1</v>
          </cell>
          <cell r="E95">
            <v>617.1</v>
          </cell>
        </row>
        <row r="96">
          <cell r="B96">
            <v>2682</v>
          </cell>
          <cell r="C96" t="str">
            <v>Pension Expenses***</v>
          </cell>
          <cell r="D96">
            <v>0</v>
          </cell>
        </row>
        <row r="97">
          <cell r="B97">
            <v>2700</v>
          </cell>
          <cell r="C97" t="str">
            <v>CEB Employee Trust Fund Account</v>
          </cell>
          <cell r="D97">
            <v>608481.49</v>
          </cell>
          <cell r="E97">
            <v>608481.49</v>
          </cell>
        </row>
        <row r="98">
          <cell r="B98">
            <v>2710</v>
          </cell>
          <cell r="C98" t="str">
            <v>CEB Provident Fund Account</v>
          </cell>
          <cell r="D98">
            <v>3042407.44</v>
          </cell>
          <cell r="E98">
            <v>3042407.44</v>
          </cell>
        </row>
        <row r="99">
          <cell r="C99" t="str">
            <v>personel cost on pension fund</v>
          </cell>
          <cell r="D99">
            <v>0</v>
          </cell>
          <cell r="E99">
            <v>0</v>
          </cell>
        </row>
        <row r="100">
          <cell r="C100" t="str">
            <v>PERSONNEL EXPENSES - SUB TOTAL</v>
          </cell>
          <cell r="D100">
            <v>34301978.579999998</v>
          </cell>
          <cell r="E100">
            <v>34301978.579999998</v>
          </cell>
        </row>
        <row r="101">
          <cell r="C101" t="str">
            <v xml:space="preserve"> MATERIAL COST</v>
          </cell>
          <cell r="D101">
            <v>0</v>
          </cell>
        </row>
        <row r="102">
          <cell r="B102">
            <v>3100</v>
          </cell>
          <cell r="C102" t="str">
            <v>Power Station Fuel Account</v>
          </cell>
          <cell r="D102">
            <v>0</v>
          </cell>
          <cell r="E102">
            <v>0</v>
          </cell>
        </row>
        <row r="103">
          <cell r="B103">
            <v>3110</v>
          </cell>
          <cell r="C103" t="str">
            <v>Purchased Power Thermal Account</v>
          </cell>
          <cell r="D103">
            <v>0</v>
          </cell>
          <cell r="E103">
            <v>0</v>
          </cell>
        </row>
        <row r="104">
          <cell r="B104">
            <v>3114</v>
          </cell>
          <cell r="C104" t="str">
            <v>Energy Purchase from Generation to Transmission</v>
          </cell>
          <cell r="D104">
            <v>0</v>
          </cell>
          <cell r="E104">
            <v>0</v>
          </cell>
        </row>
        <row r="105">
          <cell r="B105">
            <v>3115</v>
          </cell>
          <cell r="C105" t="str">
            <v>Energy Purchase from Transmission</v>
          </cell>
          <cell r="D105">
            <v>0</v>
          </cell>
          <cell r="E105">
            <v>0</v>
          </cell>
        </row>
        <row r="106">
          <cell r="B106">
            <v>3120</v>
          </cell>
          <cell r="C106" t="str">
            <v>Rebate on Self  Generation Account</v>
          </cell>
          <cell r="D106">
            <v>0</v>
          </cell>
          <cell r="E106">
            <v>0</v>
          </cell>
        </row>
        <row r="107">
          <cell r="B107">
            <v>3130</v>
          </cell>
          <cell r="C107" t="str">
            <v>Purchased Power  - Renewable Account</v>
          </cell>
          <cell r="D107">
            <v>0</v>
          </cell>
          <cell r="E107">
            <v>0</v>
          </cell>
        </row>
        <row r="108">
          <cell r="B108">
            <v>3150</v>
          </cell>
          <cell r="C108" t="str">
            <v>Power Station Coal Account</v>
          </cell>
          <cell r="D108">
            <v>0</v>
          </cell>
          <cell r="E108">
            <v>0</v>
          </cell>
        </row>
        <row r="109">
          <cell r="B109">
            <v>3200</v>
          </cell>
          <cell r="C109" t="str">
            <v>Component / Routine Maintenance - Generation Account</v>
          </cell>
          <cell r="D109">
            <v>0</v>
          </cell>
          <cell r="E109">
            <v>0</v>
          </cell>
        </row>
        <row r="110">
          <cell r="B110">
            <v>3201</v>
          </cell>
          <cell r="C110" t="str">
            <v xml:space="preserve">Component / Routine Maintenance-Transmission </v>
          </cell>
          <cell r="D110">
            <v>0</v>
          </cell>
          <cell r="E110">
            <v>0</v>
          </cell>
        </row>
        <row r="111">
          <cell r="B111">
            <v>3202</v>
          </cell>
          <cell r="C111" t="str">
            <v>Component / Routine Maintenance - Distribution  Account</v>
          </cell>
          <cell r="D111">
            <v>0</v>
          </cell>
          <cell r="E111">
            <v>0</v>
          </cell>
        </row>
        <row r="112">
          <cell r="B112">
            <v>3203</v>
          </cell>
          <cell r="C112" t="str">
            <v>Lubricating Oil Account</v>
          </cell>
          <cell r="D112">
            <v>0</v>
          </cell>
          <cell r="E112">
            <v>0</v>
          </cell>
        </row>
        <row r="113">
          <cell r="B113">
            <v>3204</v>
          </cell>
          <cell r="C113" t="str">
            <v>Water Treatment Plant Chemicals Account</v>
          </cell>
          <cell r="D113">
            <v>0</v>
          </cell>
          <cell r="E113">
            <v>0</v>
          </cell>
        </row>
        <row r="114">
          <cell r="B114">
            <v>3210</v>
          </cell>
          <cell r="C114" t="str">
            <v>Components / Special Maintenance Account</v>
          </cell>
          <cell r="D114">
            <v>0</v>
          </cell>
          <cell r="E114">
            <v>0</v>
          </cell>
        </row>
        <row r="115">
          <cell r="B115">
            <v>3211</v>
          </cell>
          <cell r="C115" t="str">
            <v>Components / Routine Maintenance on Rehabilitation Account</v>
          </cell>
          <cell r="D115">
            <v>0</v>
          </cell>
          <cell r="E115">
            <v>0</v>
          </cell>
        </row>
        <row r="116">
          <cell r="B116">
            <v>3212</v>
          </cell>
          <cell r="C116" t="str">
            <v>Expenses on Tug Boats and Barges</v>
          </cell>
          <cell r="D116">
            <v>0</v>
          </cell>
          <cell r="E116">
            <v>0</v>
          </cell>
        </row>
        <row r="117">
          <cell r="B117">
            <v>3220</v>
          </cell>
          <cell r="C117" t="str">
            <v>Components/Construction Account</v>
          </cell>
          <cell r="D117">
            <v>0</v>
          </cell>
          <cell r="E117">
            <v>0</v>
          </cell>
        </row>
        <row r="118">
          <cell r="B118">
            <v>3225</v>
          </cell>
          <cell r="C118" t="str">
            <v>Fixing of Boundary Meters Account</v>
          </cell>
          <cell r="D118">
            <v>0</v>
          </cell>
          <cell r="E118">
            <v>0</v>
          </cell>
        </row>
        <row r="119">
          <cell r="B119">
            <v>3230</v>
          </cell>
          <cell r="C119" t="str">
            <v>Consumables Account</v>
          </cell>
          <cell r="D119">
            <v>0</v>
          </cell>
          <cell r="E119">
            <v>0</v>
          </cell>
        </row>
        <row r="120">
          <cell r="B120">
            <v>3300</v>
          </cell>
          <cell r="C120" t="str">
            <v>Loose Tools Account</v>
          </cell>
          <cell r="D120">
            <v>0</v>
          </cell>
          <cell r="E120">
            <v>0</v>
          </cell>
        </row>
        <row r="121">
          <cell r="B121">
            <v>3410</v>
          </cell>
          <cell r="C121" t="str">
            <v>Stores Discrepancies Account</v>
          </cell>
          <cell r="D121">
            <v>0</v>
          </cell>
          <cell r="E121">
            <v>0</v>
          </cell>
        </row>
        <row r="122">
          <cell r="B122">
            <v>3420</v>
          </cell>
          <cell r="C122" t="str">
            <v>Damaged Stocks Account</v>
          </cell>
          <cell r="D122">
            <v>0</v>
          </cell>
          <cell r="E122">
            <v>0</v>
          </cell>
        </row>
        <row r="123">
          <cell r="B123">
            <v>3430</v>
          </cell>
          <cell r="C123" t="str">
            <v>Stores Price Variances Account</v>
          </cell>
          <cell r="D123">
            <v>0</v>
          </cell>
          <cell r="E123">
            <v>0</v>
          </cell>
        </row>
        <row r="124">
          <cell r="B124">
            <v>3450</v>
          </cell>
          <cell r="C124" t="str">
            <v>Annual Provision For Damaged Stocks &amp; Obsolete Stocks Account</v>
          </cell>
          <cell r="D124">
            <v>0</v>
          </cell>
          <cell r="E124">
            <v>0</v>
          </cell>
        </row>
        <row r="125">
          <cell r="B125">
            <v>3500</v>
          </cell>
          <cell r="C125" t="str">
            <v>Damages &amp; Losses on Boards Property Account</v>
          </cell>
          <cell r="D125">
            <v>0</v>
          </cell>
          <cell r="E125">
            <v>0</v>
          </cell>
        </row>
        <row r="126">
          <cell r="B126">
            <v>3510</v>
          </cell>
          <cell r="C126" t="str">
            <v>Demurrages***</v>
          </cell>
        </row>
        <row r="127">
          <cell r="C127" t="str">
            <v>MATERIAL COST - SUB TOTAL</v>
          </cell>
          <cell r="D127">
            <v>0</v>
          </cell>
          <cell r="E127">
            <v>0</v>
          </cell>
        </row>
        <row r="128">
          <cell r="C128" t="str">
            <v>ACCOMMODATION EXPENSES</v>
          </cell>
          <cell r="D128">
            <v>0</v>
          </cell>
        </row>
        <row r="129">
          <cell r="B129">
            <v>4100</v>
          </cell>
          <cell r="C129" t="str">
            <v>Housing Rent and Rates Account</v>
          </cell>
          <cell r="D129">
            <v>1199250.08</v>
          </cell>
          <cell r="E129">
            <v>1199250.08</v>
          </cell>
        </row>
        <row r="130">
          <cell r="B130">
            <v>4110</v>
          </cell>
          <cell r="C130" t="str">
            <v>Building Maintenance Account</v>
          </cell>
          <cell r="D130">
            <v>73747.839999999997</v>
          </cell>
          <cell r="E130">
            <v>73747.839999999997</v>
          </cell>
        </row>
        <row r="131">
          <cell r="B131">
            <v>4120</v>
          </cell>
          <cell r="C131" t="str">
            <v>Circuit Bungalow Maintenance Account</v>
          </cell>
          <cell r="D131">
            <v>0</v>
          </cell>
          <cell r="E131">
            <v>0</v>
          </cell>
        </row>
        <row r="132">
          <cell r="B132">
            <v>4200</v>
          </cell>
          <cell r="C132" t="str">
            <v>Furniture, fittings and Equipment Account</v>
          </cell>
          <cell r="D132">
            <v>210992.32</v>
          </cell>
          <cell r="E132">
            <v>210992.32</v>
          </cell>
        </row>
        <row r="133">
          <cell r="B133">
            <v>4300</v>
          </cell>
          <cell r="C133" t="str">
            <v>Electricity  Consumption Account</v>
          </cell>
          <cell r="D133">
            <v>602438.14</v>
          </cell>
          <cell r="E133">
            <v>602438.14</v>
          </cell>
        </row>
        <row r="134">
          <cell r="B134">
            <v>4400</v>
          </cell>
          <cell r="C134" t="str">
            <v>Water Supply Charges Account</v>
          </cell>
          <cell r="D134">
            <v>62876.9</v>
          </cell>
          <cell r="E134">
            <v>62876.9</v>
          </cell>
        </row>
        <row r="135">
          <cell r="B135">
            <v>4310</v>
          </cell>
          <cell r="C135" t="str">
            <v>LP Gas for employee quarters Account***</v>
          </cell>
        </row>
        <row r="136">
          <cell r="C136" t="str">
            <v>ACCOMMODATION EXPENSES - SUB TOTAL</v>
          </cell>
          <cell r="D136">
            <v>2149305.2800000003</v>
          </cell>
          <cell r="E136">
            <v>2149305.2800000003</v>
          </cell>
        </row>
        <row r="137">
          <cell r="C137" t="str">
            <v>TRANSPORT &amp; COMMUNICATION EXPENSES</v>
          </cell>
        </row>
        <row r="138">
          <cell r="B138">
            <v>5100</v>
          </cell>
          <cell r="C138" t="str">
            <v xml:space="preserve">Traveling and Subsistence (Local) Account </v>
          </cell>
          <cell r="D138">
            <v>60444.75</v>
          </cell>
          <cell r="E138">
            <v>60444.75</v>
          </cell>
        </row>
        <row r="139">
          <cell r="B139">
            <v>5110</v>
          </cell>
          <cell r="C139" t="str">
            <v xml:space="preserve">Traveling and Subsistence (Overseas) Account </v>
          </cell>
          <cell r="D139">
            <v>0</v>
          </cell>
          <cell r="E139">
            <v>0</v>
          </cell>
        </row>
        <row r="140">
          <cell r="B140">
            <v>5200</v>
          </cell>
          <cell r="C140" t="str">
            <v>Vehicle Maintenance Account</v>
          </cell>
          <cell r="D140">
            <v>595272.83000000007</v>
          </cell>
          <cell r="E140">
            <v>595272.83000000007</v>
          </cell>
        </row>
        <row r="141">
          <cell r="B141">
            <v>5210</v>
          </cell>
          <cell r="C141" t="str">
            <v>Vehicle Fuel, Oil  and Licenses Account</v>
          </cell>
          <cell r="D141">
            <v>1311354.0699999998</v>
          </cell>
          <cell r="E141">
            <v>1311354.0699999998</v>
          </cell>
        </row>
        <row r="142">
          <cell r="B142">
            <v>5220</v>
          </cell>
          <cell r="C142" t="str">
            <v>Vehicle Hire Charges Account</v>
          </cell>
          <cell r="D142">
            <v>796560</v>
          </cell>
          <cell r="E142">
            <v>796560</v>
          </cell>
        </row>
        <row r="143">
          <cell r="B143">
            <v>5230</v>
          </cell>
          <cell r="C143" t="str">
            <v>Material Transport Charges Account</v>
          </cell>
          <cell r="D143">
            <v>0</v>
          </cell>
          <cell r="E143">
            <v>0</v>
          </cell>
        </row>
        <row r="144">
          <cell r="B144">
            <v>5300</v>
          </cell>
          <cell r="C144" t="str">
            <v>Office Supplies Account</v>
          </cell>
          <cell r="D144">
            <v>647600.91999999993</v>
          </cell>
          <cell r="E144">
            <v>647600.91999999993</v>
          </cell>
        </row>
        <row r="145">
          <cell r="B145">
            <v>5310</v>
          </cell>
          <cell r="C145" t="str">
            <v>Postage Account</v>
          </cell>
          <cell r="D145">
            <v>35150</v>
          </cell>
          <cell r="E145">
            <v>35150</v>
          </cell>
        </row>
        <row r="146">
          <cell r="B146">
            <v>5320</v>
          </cell>
          <cell r="C146" t="str">
            <v>Telecommunications Account</v>
          </cell>
          <cell r="D146">
            <v>469375.96</v>
          </cell>
          <cell r="E146">
            <v>469375.96</v>
          </cell>
        </row>
        <row r="147">
          <cell r="B147">
            <v>5321</v>
          </cell>
          <cell r="C147" t="str">
            <v>Communication Frequency Charges Account</v>
          </cell>
          <cell r="D147">
            <v>0</v>
          </cell>
          <cell r="E147">
            <v>0</v>
          </cell>
        </row>
        <row r="148">
          <cell r="B148">
            <v>5322</v>
          </cell>
          <cell r="C148" t="str">
            <v>Expenses on Data communication links</v>
          </cell>
          <cell r="D148">
            <v>0</v>
          </cell>
          <cell r="E148">
            <v>0</v>
          </cell>
        </row>
        <row r="149">
          <cell r="B149">
            <v>5323</v>
          </cell>
          <cell r="C149" t="str">
            <v>Expenses on Software licenses and  maintenance</v>
          </cell>
          <cell r="D149">
            <v>0</v>
          </cell>
          <cell r="E149">
            <v>0</v>
          </cell>
        </row>
        <row r="150">
          <cell r="B150">
            <v>5324</v>
          </cell>
          <cell r="C150" t="str">
            <v>Expenses on maintenance of IT related hardware</v>
          </cell>
          <cell r="D150">
            <v>0</v>
          </cell>
          <cell r="E150">
            <v>0</v>
          </cell>
        </row>
        <row r="151">
          <cell r="C151" t="str">
            <v>TRANSPORT &amp; COMMUNICATION EXP. - SUB TOTAL</v>
          </cell>
          <cell r="D151">
            <v>3915758.53</v>
          </cell>
          <cell r="E151">
            <v>3915758.53</v>
          </cell>
        </row>
        <row r="152">
          <cell r="C152" t="str">
            <v xml:space="preserve"> DEPRECIATION</v>
          </cell>
          <cell r="D152">
            <v>0</v>
          </cell>
        </row>
        <row r="153">
          <cell r="B153">
            <v>6000</v>
          </cell>
          <cell r="C153" t="str">
            <v>Depreciation Account</v>
          </cell>
          <cell r="D153">
            <v>68072308.859999999</v>
          </cell>
          <cell r="E153">
            <v>68072308.859999999</v>
          </cell>
        </row>
        <row r="154">
          <cell r="C154" t="str">
            <v>DEPRECIATION - SUB TOTAL</v>
          </cell>
          <cell r="D154">
            <v>68072308.859999999</v>
          </cell>
          <cell r="E154">
            <v>68072308.859999999</v>
          </cell>
        </row>
        <row r="155">
          <cell r="C155" t="str">
            <v xml:space="preserve"> OTHER EXPENSES</v>
          </cell>
          <cell r="D155">
            <v>0</v>
          </cell>
        </row>
        <row r="156">
          <cell r="B156">
            <v>7100</v>
          </cell>
          <cell r="C156" t="str">
            <v>Hire and Lease Charges Account</v>
          </cell>
          <cell r="D156">
            <v>0</v>
          </cell>
          <cell r="E156">
            <v>0</v>
          </cell>
        </row>
        <row r="157">
          <cell r="B157">
            <v>7210</v>
          </cell>
          <cell r="C157" t="str">
            <v>Payment to Security Staff on Contract Account</v>
          </cell>
          <cell r="D157">
            <v>0</v>
          </cell>
          <cell r="E157">
            <v>0</v>
          </cell>
        </row>
        <row r="158">
          <cell r="B158">
            <v>7211</v>
          </cell>
          <cell r="C158" t="str">
            <v>Payment to Manpower Agencies Account</v>
          </cell>
          <cell r="D158">
            <v>1686300.72</v>
          </cell>
          <cell r="E158">
            <v>1686300.72</v>
          </cell>
        </row>
        <row r="159">
          <cell r="B159">
            <v>7220</v>
          </cell>
          <cell r="C159" t="str">
            <v>Payments to Private Secretarial Service Account</v>
          </cell>
          <cell r="D159">
            <v>0</v>
          </cell>
          <cell r="E159">
            <v>0</v>
          </cell>
        </row>
        <row r="160">
          <cell r="B160">
            <v>7230</v>
          </cell>
          <cell r="C160" t="str">
            <v>Payments for RE cordinators</v>
          </cell>
          <cell r="D160">
            <v>0</v>
          </cell>
          <cell r="E160">
            <v>0</v>
          </cell>
        </row>
        <row r="161">
          <cell r="B161">
            <v>7300</v>
          </cell>
          <cell r="C161" t="str">
            <v>Clearance Charges Account</v>
          </cell>
          <cell r="D161">
            <v>0</v>
          </cell>
          <cell r="E161">
            <v>0</v>
          </cell>
        </row>
        <row r="162">
          <cell r="B162">
            <v>7310</v>
          </cell>
          <cell r="C162" t="str">
            <v>Custom Duty Account</v>
          </cell>
          <cell r="D162">
            <v>0</v>
          </cell>
          <cell r="E162">
            <v>0</v>
          </cell>
        </row>
        <row r="163">
          <cell r="B163">
            <v>7400</v>
          </cell>
          <cell r="C163" t="str">
            <v>Legal Fees Account</v>
          </cell>
          <cell r="D163">
            <v>0</v>
          </cell>
          <cell r="E163">
            <v>0</v>
          </cell>
        </row>
        <row r="164">
          <cell r="B164">
            <v>7405</v>
          </cell>
          <cell r="C164" t="str">
            <v xml:space="preserve">Annual Regulatory Levy (PUCSL) Account </v>
          </cell>
          <cell r="D164">
            <v>0</v>
          </cell>
          <cell r="E164">
            <v>0</v>
          </cell>
        </row>
        <row r="165">
          <cell r="B165">
            <v>7410</v>
          </cell>
          <cell r="C165" t="str">
            <v>Audit Fees Account</v>
          </cell>
          <cell r="D165">
            <v>0</v>
          </cell>
          <cell r="E165">
            <v>0</v>
          </cell>
        </row>
        <row r="166">
          <cell r="B166">
            <v>7420</v>
          </cell>
          <cell r="C166" t="str">
            <v>Consultancy Fees Account</v>
          </cell>
          <cell r="D166">
            <v>79770</v>
          </cell>
          <cell r="E166">
            <v>79770</v>
          </cell>
        </row>
        <row r="167">
          <cell r="B167">
            <v>7430</v>
          </cell>
          <cell r="C167" t="str">
            <v>Research &amp; Development Expenditure Account</v>
          </cell>
          <cell r="D167">
            <v>0</v>
          </cell>
          <cell r="E167">
            <v>0</v>
          </cell>
        </row>
        <row r="168">
          <cell r="B168">
            <v>7440</v>
          </cell>
          <cell r="C168" t="str">
            <v>Inquiries Panel &amp; Interview Panel Account</v>
          </cell>
          <cell r="D168">
            <v>7600</v>
          </cell>
          <cell r="E168">
            <v>7600</v>
          </cell>
        </row>
        <row r="169">
          <cell r="B169">
            <v>7450</v>
          </cell>
          <cell r="C169" t="str">
            <v>Tender Board Members &amp; TEC Members Account</v>
          </cell>
          <cell r="D169">
            <v>0</v>
          </cell>
          <cell r="E169">
            <v>0</v>
          </cell>
        </row>
        <row r="170">
          <cell r="B170">
            <v>7460</v>
          </cell>
          <cell r="C170" t="str">
            <v>Payment to the Engineering Services at Lakvijaya Power Station</v>
          </cell>
          <cell r="D170">
            <v>0</v>
          </cell>
          <cell r="E170">
            <v>0</v>
          </cell>
        </row>
        <row r="171">
          <cell r="B171">
            <v>7500</v>
          </cell>
          <cell r="C171" t="str">
            <v>Public Relations/Advertising Account</v>
          </cell>
          <cell r="D171">
            <v>0</v>
          </cell>
          <cell r="E171">
            <v>0</v>
          </cell>
        </row>
        <row r="172">
          <cell r="B172">
            <v>7501</v>
          </cell>
          <cell r="C172" t="str">
            <v>Energy Saving\Conservation Account</v>
          </cell>
          <cell r="D172">
            <v>0</v>
          </cell>
          <cell r="E172">
            <v>0</v>
          </cell>
        </row>
        <row r="173">
          <cell r="B173">
            <v>7510</v>
          </cell>
          <cell r="C173" t="str">
            <v>Entertainment Account</v>
          </cell>
          <cell r="D173">
            <v>136552.74</v>
          </cell>
          <cell r="E173">
            <v>136552.74</v>
          </cell>
        </row>
        <row r="174">
          <cell r="B174">
            <v>7540</v>
          </cell>
          <cell r="C174" t="str">
            <v xml:space="preserve">Donation &amp; Social Cost Account </v>
          </cell>
          <cell r="D174">
            <v>0</v>
          </cell>
          <cell r="E174">
            <v>0</v>
          </cell>
        </row>
        <row r="175">
          <cell r="B175">
            <v>7560</v>
          </cell>
          <cell r="C175" t="str">
            <v>Cleaning Service &amp; Pest Control Services Account</v>
          </cell>
          <cell r="D175">
            <v>89291.42</v>
          </cell>
          <cell r="E175">
            <v>89291.42</v>
          </cell>
        </row>
        <row r="176">
          <cell r="B176">
            <v>7600</v>
          </cell>
          <cell r="C176" t="str">
            <v>Insurance Premiums Account</v>
          </cell>
          <cell r="D176">
            <v>0</v>
          </cell>
          <cell r="E176">
            <v>0</v>
          </cell>
        </row>
        <row r="177">
          <cell r="B177">
            <v>7700</v>
          </cell>
          <cell r="C177" t="str">
            <v>Loss on Scrap  - Fixed Assets Account</v>
          </cell>
          <cell r="D177">
            <v>0</v>
          </cell>
          <cell r="E177">
            <v>0</v>
          </cell>
        </row>
        <row r="178">
          <cell r="B178">
            <v>7710</v>
          </cell>
          <cell r="C178" t="str">
            <v xml:space="preserve">Losses on Sale - Fixed Assets Account </v>
          </cell>
          <cell r="D178">
            <v>0</v>
          </cell>
          <cell r="E178">
            <v>0</v>
          </cell>
        </row>
        <row r="179">
          <cell r="B179">
            <v>7711</v>
          </cell>
          <cell r="C179" t="str">
            <v>Cash Counter Payment Account</v>
          </cell>
          <cell r="D179">
            <v>0</v>
          </cell>
          <cell r="E179">
            <v>0</v>
          </cell>
        </row>
        <row r="180">
          <cell r="B180">
            <v>7720</v>
          </cell>
          <cell r="C180" t="str">
            <v xml:space="preserve">Bad Debts Written Off (Electricity ) Account </v>
          </cell>
          <cell r="D180">
            <v>0</v>
          </cell>
          <cell r="E180">
            <v>0</v>
          </cell>
        </row>
        <row r="181">
          <cell r="B181">
            <v>7721</v>
          </cell>
          <cell r="C181" t="str">
            <v xml:space="preserve">Provision for Bad Debts (Electricity) Account </v>
          </cell>
          <cell r="D181">
            <v>0</v>
          </cell>
          <cell r="E181">
            <v>0</v>
          </cell>
        </row>
        <row r="182">
          <cell r="B182">
            <v>7730</v>
          </cell>
          <cell r="C182" t="str">
            <v>Contingencies Account</v>
          </cell>
          <cell r="D182">
            <v>0</v>
          </cell>
          <cell r="E182">
            <v>0</v>
          </cell>
        </row>
        <row r="183">
          <cell r="B183">
            <v>7740</v>
          </cell>
          <cell r="C183" t="str">
            <v>25 % Electricity Bill For Eligible Government Institution</v>
          </cell>
          <cell r="D183">
            <v>0</v>
          </cell>
          <cell r="E183">
            <v>0</v>
          </cell>
        </row>
        <row r="184">
          <cell r="B184">
            <v>7750</v>
          </cell>
          <cell r="C184" t="str">
            <v>Repairs to Transformers Account</v>
          </cell>
          <cell r="D184">
            <v>0</v>
          </cell>
          <cell r="E184">
            <v>0</v>
          </cell>
        </row>
        <row r="185">
          <cell r="B185">
            <v>7800</v>
          </cell>
          <cell r="C185" t="str">
            <v>Miscellaneous Expense Account</v>
          </cell>
          <cell r="D185">
            <v>334308.02</v>
          </cell>
          <cell r="E185">
            <v>334308.02</v>
          </cell>
        </row>
        <row r="186">
          <cell r="B186" t="str">
            <v>7805</v>
          </cell>
          <cell r="C186" t="str">
            <v>Coal Related Other Expenditure     **</v>
          </cell>
          <cell r="D186">
            <v>0</v>
          </cell>
        </row>
        <row r="187">
          <cell r="B187">
            <v>7810</v>
          </cell>
          <cell r="C187" t="str">
            <v>Compensation to Third Parties Account</v>
          </cell>
          <cell r="D187">
            <v>0</v>
          </cell>
          <cell r="E187">
            <v>0</v>
          </cell>
        </row>
        <row r="188">
          <cell r="B188">
            <v>7820</v>
          </cell>
          <cell r="C188" t="str">
            <v>Repairs to Plant, Machinery &amp; Equipment Account</v>
          </cell>
          <cell r="D188">
            <v>24920.76</v>
          </cell>
          <cell r="E188">
            <v>24920.76</v>
          </cell>
        </row>
        <row r="189">
          <cell r="B189">
            <v>7830</v>
          </cell>
          <cell r="C189" t="str">
            <v>Way Leaves Account</v>
          </cell>
          <cell r="D189">
            <v>0</v>
          </cell>
          <cell r="E189">
            <v>0</v>
          </cell>
        </row>
        <row r="190">
          <cell r="B190">
            <v>7840</v>
          </cell>
          <cell r="C190" t="str">
            <v xml:space="preserve">Shifting of Electricity Lines Account </v>
          </cell>
          <cell r="D190">
            <v>0</v>
          </cell>
          <cell r="E190">
            <v>0</v>
          </cell>
        </row>
        <row r="191">
          <cell r="B191">
            <v>7850</v>
          </cell>
          <cell r="C191" t="str">
            <v>Bad Debts Written Off Except Electricity Debts Account</v>
          </cell>
          <cell r="D191">
            <v>0</v>
          </cell>
          <cell r="E191">
            <v>0</v>
          </cell>
        </row>
        <row r="192">
          <cell r="B192">
            <v>7851</v>
          </cell>
          <cell r="C192" t="str">
            <v xml:space="preserve">Provision for Bad Debts (Other Than Electricity) Account </v>
          </cell>
          <cell r="D192">
            <v>0</v>
          </cell>
          <cell r="E192">
            <v>0</v>
          </cell>
        </row>
        <row r="193">
          <cell r="B193">
            <v>7852</v>
          </cell>
          <cell r="C193" t="str">
            <v>SLFRS Adjustment Control Account- Only for 2012</v>
          </cell>
          <cell r="D193">
            <v>0</v>
          </cell>
          <cell r="E193">
            <v>0</v>
          </cell>
        </row>
        <row r="194">
          <cell r="B194">
            <v>7853</v>
          </cell>
          <cell r="C194" t="str">
            <v>SLFRS Adjustment Control Account- Prior to 2012</v>
          </cell>
          <cell r="D194">
            <v>0</v>
          </cell>
          <cell r="E194">
            <v>0</v>
          </cell>
        </row>
        <row r="195">
          <cell r="B195">
            <v>7854</v>
          </cell>
          <cell r="C195" t="str">
            <v>Expenses on Cost Recovery Traning</v>
          </cell>
          <cell r="D195">
            <v>0</v>
          </cell>
          <cell r="E195">
            <v>0</v>
          </cell>
        </row>
        <row r="196">
          <cell r="B196">
            <v>7855</v>
          </cell>
          <cell r="C196" t="str">
            <v>Valuation and surver of Lands and Buildings</v>
          </cell>
          <cell r="D196">
            <v>778998.4</v>
          </cell>
          <cell r="E196">
            <v>778998.4</v>
          </cell>
        </row>
        <row r="197">
          <cell r="C197" t="str">
            <v>OTHER EXPENSES - SUB TOTAL</v>
          </cell>
          <cell r="D197">
            <v>3137742.0599999996</v>
          </cell>
          <cell r="E197">
            <v>3137742.0599999996</v>
          </cell>
        </row>
        <row r="198">
          <cell r="C198" t="str">
            <v>FINANCE COST</v>
          </cell>
          <cell r="D198">
            <v>0</v>
          </cell>
        </row>
        <row r="199">
          <cell r="B199">
            <v>8100</v>
          </cell>
          <cell r="C199" t="str">
            <v>Overdraft  Interest Account</v>
          </cell>
          <cell r="D199">
            <v>0</v>
          </cell>
          <cell r="E199">
            <v>0</v>
          </cell>
        </row>
        <row r="200">
          <cell r="B200">
            <v>8110</v>
          </cell>
          <cell r="C200" t="str">
            <v xml:space="preserve">Long / Short Term Interest Account </v>
          </cell>
          <cell r="D200">
            <v>0</v>
          </cell>
          <cell r="E200">
            <v>0</v>
          </cell>
        </row>
        <row r="201">
          <cell r="B201">
            <v>8200</v>
          </cell>
          <cell r="C201" t="str">
            <v>Bank Charges Account</v>
          </cell>
          <cell r="D201">
            <v>18336</v>
          </cell>
          <cell r="E201">
            <v>18336</v>
          </cell>
        </row>
        <row r="202">
          <cell r="B202">
            <v>8300</v>
          </cell>
          <cell r="C202" t="str">
            <v>Exchange Rate Gain/ Losses  Account</v>
          </cell>
          <cell r="D202">
            <v>0</v>
          </cell>
          <cell r="E202">
            <v>0</v>
          </cell>
        </row>
        <row r="203">
          <cell r="B203">
            <v>8400</v>
          </cell>
          <cell r="C203" t="str">
            <v>Lease Interest Account</v>
          </cell>
          <cell r="D203">
            <v>0</v>
          </cell>
          <cell r="E203">
            <v>0</v>
          </cell>
        </row>
        <row r="204">
          <cell r="B204">
            <v>8500</v>
          </cell>
          <cell r="C204" t="str">
            <v>Project Loan Interest Account</v>
          </cell>
          <cell r="D204">
            <v>0</v>
          </cell>
          <cell r="E204">
            <v>0</v>
          </cell>
        </row>
        <row r="205">
          <cell r="B205">
            <v>8600</v>
          </cell>
          <cell r="C205" t="str">
            <v>Commission on Electricity Bill Collection Account</v>
          </cell>
          <cell r="D205">
            <v>0</v>
          </cell>
          <cell r="E205">
            <v>0</v>
          </cell>
        </row>
        <row r="206">
          <cell r="B206">
            <v>8700</v>
          </cell>
          <cell r="C206" t="str">
            <v>Delayed Interest on IPP Payments Account</v>
          </cell>
          <cell r="D206">
            <v>0</v>
          </cell>
          <cell r="E206">
            <v>0</v>
          </cell>
        </row>
        <row r="207">
          <cell r="B207">
            <v>8800</v>
          </cell>
          <cell r="C207" t="str">
            <v>Interest for delay payment to CPC       **</v>
          </cell>
        </row>
        <row r="208">
          <cell r="B208">
            <v>9100</v>
          </cell>
          <cell r="C208" t="str">
            <v>Debit Tax Account</v>
          </cell>
          <cell r="D208">
            <v>0</v>
          </cell>
          <cell r="E208">
            <v>0</v>
          </cell>
        </row>
        <row r="209">
          <cell r="B209">
            <v>9110</v>
          </cell>
          <cell r="C209" t="str">
            <v>Stamp Duty Account</v>
          </cell>
          <cell r="D209">
            <v>0</v>
          </cell>
          <cell r="E209">
            <v>0</v>
          </cell>
        </row>
        <row r="210">
          <cell r="B210">
            <v>9120</v>
          </cell>
          <cell r="C210" t="str">
            <v>Write Off  of Unrecoverable Economic Service Charge Account</v>
          </cell>
          <cell r="D210">
            <v>0</v>
          </cell>
          <cell r="E210">
            <v>0</v>
          </cell>
        </row>
        <row r="211">
          <cell r="B211">
            <v>9130</v>
          </cell>
          <cell r="C211" t="str">
            <v>Income Tax Account</v>
          </cell>
          <cell r="D211">
            <v>0</v>
          </cell>
          <cell r="E211">
            <v>0</v>
          </cell>
        </row>
        <row r="212">
          <cell r="B212">
            <v>9140</v>
          </cell>
          <cell r="C212" t="str">
            <v>Other Taxes Account</v>
          </cell>
          <cell r="D212">
            <v>0</v>
          </cell>
          <cell r="E212">
            <v>0</v>
          </cell>
        </row>
        <row r="213">
          <cell r="B213">
            <v>9200</v>
          </cell>
          <cell r="C213" t="str">
            <v>CON. FUND TAX</v>
          </cell>
          <cell r="D213">
            <v>0</v>
          </cell>
          <cell r="E213">
            <v>0</v>
          </cell>
        </row>
        <row r="214">
          <cell r="B214">
            <v>9300</v>
          </cell>
          <cell r="C214" t="str">
            <v>Deferred Tax Expense / (Income) - Net</v>
          </cell>
          <cell r="D214">
            <v>0</v>
          </cell>
          <cell r="E214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Master Summary"/>
      <sheetName val="Term Loans"/>
      <sheetName val="Loans From Related Parties"/>
      <sheetName val="Projects Loan"/>
      <sheetName val="2.PB 10 Bn"/>
      <sheetName val="3..PB-OD"/>
      <sheetName val="Repayment"/>
      <sheetName val="NSB"/>
      <sheetName val="Sampath"/>
      <sheetName val="Seylan"/>
      <sheetName val="NTB3Bn"/>
      <sheetName val="BOC 15 Bn"/>
      <sheetName val="BOC 5 Bn"/>
      <sheetName val="Seylan 2Bn"/>
      <sheetName val="PB 35 Bn"/>
      <sheetName val="Seylan 2Bn new"/>
      <sheetName val="PB 10 Bn "/>
      <sheetName val="NTB 1Bn"/>
      <sheetName val="NTB 3 new"/>
      <sheetName val="NTB 2Bn"/>
      <sheetName val="NSB 5Bn"/>
      <sheetName val="Sheet2"/>
      <sheetName val="LECO 2Bn"/>
      <sheetName val="Repayment (2)"/>
      <sheetName val="Repayment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M33">
            <v>102.16734246575344</v>
          </cell>
        </row>
        <row r="34">
          <cell r="M34">
            <v>96.371610958904128</v>
          </cell>
        </row>
        <row r="35">
          <cell r="M35">
            <v>85.775123287671235</v>
          </cell>
        </row>
        <row r="36">
          <cell r="M36">
            <v>84.968829448383104</v>
          </cell>
        </row>
        <row r="37">
          <cell r="M37">
            <v>77.572058164102685</v>
          </cell>
        </row>
        <row r="38">
          <cell r="M38">
            <v>62.960745205479448</v>
          </cell>
        </row>
        <row r="39">
          <cell r="M39">
            <v>53.734431496487275</v>
          </cell>
        </row>
        <row r="40">
          <cell r="M40">
            <v>49.334618467482208</v>
          </cell>
        </row>
        <row r="41">
          <cell r="M41">
            <v>31.364624657534247</v>
          </cell>
        </row>
        <row r="42">
          <cell r="M42">
            <v>25.875815342465753</v>
          </cell>
        </row>
        <row r="43">
          <cell r="M43">
            <v>20.387006027397263</v>
          </cell>
        </row>
        <row r="44">
          <cell r="M44">
            <v>14.898196712328767</v>
          </cell>
        </row>
      </sheetData>
      <sheetData sheetId="9"/>
      <sheetData sheetId="10"/>
      <sheetData sheetId="11">
        <row r="21">
          <cell r="K21">
            <v>59.50513698630138</v>
          </cell>
        </row>
        <row r="22">
          <cell r="K22">
            <v>57.950616438356178</v>
          </cell>
        </row>
        <row r="23">
          <cell r="K23">
            <v>51.073150684931512</v>
          </cell>
        </row>
        <row r="24">
          <cell r="K24">
            <v>54.97457191780822</v>
          </cell>
        </row>
        <row r="25">
          <cell r="K25">
            <v>51.309143835616439</v>
          </cell>
        </row>
        <row r="26">
          <cell r="K26">
            <v>40.639726027397259</v>
          </cell>
        </row>
        <row r="27">
          <cell r="K27">
            <v>38.136986301369859</v>
          </cell>
        </row>
        <row r="28">
          <cell r="K28">
            <v>37.896438356164388</v>
          </cell>
        </row>
        <row r="29">
          <cell r="K29">
            <v>34.142465753424659</v>
          </cell>
        </row>
        <row r="30">
          <cell r="K30">
            <v>33.004383561643834</v>
          </cell>
        </row>
        <row r="31">
          <cell r="K31">
            <v>31.866301369863013</v>
          </cell>
        </row>
        <row r="32">
          <cell r="K32">
            <v>30.728219178082192</v>
          </cell>
        </row>
      </sheetData>
      <sheetData sheetId="12">
        <row r="52">
          <cell r="L52">
            <v>315.66584876712335</v>
          </cell>
        </row>
        <row r="53">
          <cell r="L53">
            <v>285.83307945205479</v>
          </cell>
        </row>
        <row r="54">
          <cell r="L54">
            <v>236.1687846575343</v>
          </cell>
        </row>
        <row r="55">
          <cell r="L55">
            <v>246.35251561643835</v>
          </cell>
        </row>
        <row r="56">
          <cell r="L56">
            <v>208.32098630136989</v>
          </cell>
        </row>
        <row r="57">
          <cell r="L57">
            <v>207.69203342465752</v>
          </cell>
        </row>
        <row r="58">
          <cell r="L58">
            <v>199.2157808219178</v>
          </cell>
        </row>
        <row r="59">
          <cell r="L59">
            <v>191.13649315972606</v>
          </cell>
        </row>
        <row r="60">
          <cell r="L60">
            <v>180.79436712328769</v>
          </cell>
        </row>
        <row r="61">
          <cell r="L61">
            <v>176.49226849315065</v>
          </cell>
        </row>
        <row r="62">
          <cell r="L62">
            <v>172.19016986301369</v>
          </cell>
        </row>
        <row r="63">
          <cell r="L63">
            <v>167.88807123287671</v>
          </cell>
        </row>
      </sheetData>
      <sheetData sheetId="13">
        <row r="44">
          <cell r="L44">
            <v>128.16961095890412</v>
          </cell>
        </row>
        <row r="45">
          <cell r="L45">
            <v>116.83788493150686</v>
          </cell>
        </row>
        <row r="46">
          <cell r="L46">
            <v>97.946849315068476</v>
          </cell>
        </row>
        <row r="47">
          <cell r="L47">
            <v>103.89807671</v>
          </cell>
        </row>
        <row r="48">
          <cell r="L48">
            <v>88.658652063835618</v>
          </cell>
        </row>
        <row r="49">
          <cell r="L49">
            <v>90.373863628897453</v>
          </cell>
        </row>
        <row r="50">
          <cell r="L50">
            <v>88.201413694383561</v>
          </cell>
        </row>
        <row r="51">
          <cell r="L51">
            <v>85.403956170136993</v>
          </cell>
        </row>
        <row r="52">
          <cell r="L52">
            <v>85.251189041095884</v>
          </cell>
        </row>
        <row r="53">
          <cell r="L53">
            <v>84.885304109589029</v>
          </cell>
        </row>
        <row r="54">
          <cell r="L54">
            <v>84.519419178082188</v>
          </cell>
        </row>
        <row r="55">
          <cell r="L55">
            <v>84.153534246575319</v>
          </cell>
        </row>
      </sheetData>
      <sheetData sheetId="14">
        <row r="54">
          <cell r="K54">
            <v>32.995618630136981</v>
          </cell>
        </row>
        <row r="55">
          <cell r="K55">
            <v>32.444379178082194</v>
          </cell>
        </row>
        <row r="56">
          <cell r="K56">
            <v>28.806706849315066</v>
          </cell>
        </row>
        <row r="57">
          <cell r="K57">
            <v>31.30252602739726</v>
          </cell>
        </row>
        <row r="58">
          <cell r="K58">
            <v>1.9814136986301369</v>
          </cell>
        </row>
        <row r="59">
          <cell r="K59">
            <v>33.388273972602747</v>
          </cell>
        </row>
        <row r="60">
          <cell r="K60">
            <v>36.254712328767127</v>
          </cell>
        </row>
        <row r="61">
          <cell r="K61">
            <v>34.397260273972606</v>
          </cell>
        </row>
        <row r="62">
          <cell r="K62">
            <v>34.761871232876715</v>
          </cell>
        </row>
        <row r="63">
          <cell r="K63">
            <v>33.979906849315078</v>
          </cell>
        </row>
        <row r="64">
          <cell r="K64">
            <v>33.197942465753435</v>
          </cell>
        </row>
        <row r="65">
          <cell r="K65">
            <v>26.931984657534247</v>
          </cell>
        </row>
        <row r="66">
          <cell r="K66">
            <v>26.223248219178085</v>
          </cell>
        </row>
      </sheetData>
      <sheetData sheetId="15"/>
      <sheetData sheetId="16">
        <row r="10">
          <cell r="J10">
            <v>24.880547945205478</v>
          </cell>
        </row>
        <row r="11">
          <cell r="J11">
            <v>41.899178082191781</v>
          </cell>
        </row>
        <row r="12">
          <cell r="J12">
            <v>40.90301369863014</v>
          </cell>
        </row>
        <row r="13">
          <cell r="J13">
            <v>38.255342465753422</v>
          </cell>
        </row>
        <row r="14">
          <cell r="J14">
            <v>38.028493150684923</v>
          </cell>
        </row>
        <row r="15">
          <cell r="J15">
            <v>37.437808219178081</v>
          </cell>
        </row>
        <row r="16">
          <cell r="J16">
            <v>37.437808219178081</v>
          </cell>
        </row>
        <row r="17">
          <cell r="J17">
            <v>37.437808219178081</v>
          </cell>
        </row>
      </sheetData>
      <sheetData sheetId="17"/>
      <sheetData sheetId="18"/>
      <sheetData sheetId="19">
        <row r="11">
          <cell r="K11">
            <v>48.945205479452056</v>
          </cell>
        </row>
        <row r="12">
          <cell r="K12">
            <v>57.32027396585918</v>
          </cell>
        </row>
        <row r="13">
          <cell r="K13">
            <v>52.208219165030151</v>
          </cell>
        </row>
        <row r="14">
          <cell r="K14">
            <v>44.054794502926029</v>
          </cell>
        </row>
        <row r="15">
          <cell r="K15">
            <v>41.117808195682201</v>
          </cell>
        </row>
        <row r="16">
          <cell r="K16">
            <v>38.180821870816438</v>
          </cell>
        </row>
        <row r="17">
          <cell r="K17">
            <v>35.243835528328766</v>
          </cell>
        </row>
        <row r="18">
          <cell r="K18">
            <v>32.306849168219181</v>
          </cell>
        </row>
      </sheetData>
      <sheetData sheetId="20">
        <row r="11">
          <cell r="K11">
            <v>39.943013698630139</v>
          </cell>
        </row>
        <row r="12">
          <cell r="K12">
            <v>34.395372890967664</v>
          </cell>
        </row>
        <row r="13">
          <cell r="K13">
            <v>31.327853849950685</v>
          </cell>
        </row>
        <row r="14">
          <cell r="K14">
            <v>30.34885839893041</v>
          </cell>
        </row>
        <row r="15">
          <cell r="K15">
            <v>27.411872083463013</v>
          </cell>
        </row>
      </sheetData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3"/>
      <sheetName val="NEW 3483"/>
      <sheetName val="NEW 3484"/>
      <sheetName val="NEW 3409"/>
      <sheetName val="MANNAR-3585"/>
      <sheetName val="BHP - ICBC"/>
      <sheetName val="BHP-HNB"/>
      <sheetName val="PEOPLE'S BANK"/>
      <sheetName val="Peoples"/>
    </sheetNames>
    <sheetDataSet>
      <sheetData sheetId="0" refreshError="1"/>
      <sheetData sheetId="1" refreshError="1">
        <row r="31">
          <cell r="E31">
            <v>2444329.8980604424</v>
          </cell>
          <cell r="F31">
            <v>2407234.4157142858</v>
          </cell>
        </row>
        <row r="32">
          <cell r="E32">
            <v>2411760.0164158288</v>
          </cell>
          <cell r="F32">
            <v>2407234.4157142858</v>
          </cell>
        </row>
      </sheetData>
      <sheetData sheetId="2" refreshError="1">
        <row r="28">
          <cell r="E28">
            <v>398182.7762411111</v>
          </cell>
          <cell r="F28">
            <v>1375000</v>
          </cell>
        </row>
        <row r="29">
          <cell r="E29">
            <v>390726.93520888884</v>
          </cell>
          <cell r="F29">
            <v>1375000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Master Summary"/>
      <sheetName val="Term Loans"/>
      <sheetName val="Loans From Related Parties"/>
      <sheetName val="Projects Loan"/>
      <sheetName val="2.PB 10 Bn"/>
      <sheetName val="3..PB-OD"/>
      <sheetName val="Finance Cost -New"/>
      <sheetName val="Sheet1"/>
      <sheetName val="NSB"/>
      <sheetName val="Sampath"/>
      <sheetName val="Seylan"/>
      <sheetName val="NTB3Bn"/>
      <sheetName val="BOC 15 Bn"/>
      <sheetName val="BOC 5 Bn"/>
      <sheetName val="Seylan 2Bn"/>
      <sheetName val="PB 35 Bn"/>
      <sheetName val="Seylan 2Bn new"/>
      <sheetName val="PB 10 Bn "/>
      <sheetName val="NTB 1Bn"/>
      <sheetName val="NTB 3 new"/>
      <sheetName val="NTB 2Bn"/>
      <sheetName val="NSB 5Bn"/>
      <sheetName val="Sheet2"/>
      <sheetName val="LECO 2B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3">
          <cell r="M33">
            <v>102.16734246575344</v>
          </cell>
        </row>
        <row r="34">
          <cell r="M34">
            <v>96.371610958904128</v>
          </cell>
        </row>
        <row r="35">
          <cell r="M35">
            <v>85.775123287671235</v>
          </cell>
        </row>
        <row r="36">
          <cell r="M36">
            <v>84.968829448383104</v>
          </cell>
        </row>
        <row r="37">
          <cell r="M37">
            <v>77.572058164102685</v>
          </cell>
        </row>
        <row r="38">
          <cell r="M38">
            <v>62.960745205479448</v>
          </cell>
        </row>
        <row r="39">
          <cell r="M39">
            <v>53.734431496487275</v>
          </cell>
        </row>
        <row r="40">
          <cell r="M40">
            <v>49.334618467482208</v>
          </cell>
        </row>
        <row r="41">
          <cell r="M41">
            <v>31.364624657534247</v>
          </cell>
        </row>
        <row r="42">
          <cell r="M42">
            <v>25.875815342465753</v>
          </cell>
        </row>
        <row r="43">
          <cell r="M43">
            <v>20.387006027397263</v>
          </cell>
        </row>
        <row r="44">
          <cell r="M44">
            <v>14.898196712328767</v>
          </cell>
        </row>
      </sheetData>
      <sheetData sheetId="10"/>
      <sheetData sheetId="11"/>
      <sheetData sheetId="12">
        <row r="21">
          <cell r="K21">
            <v>59.50513698630138</v>
          </cell>
        </row>
        <row r="22">
          <cell r="K22">
            <v>57.950616438356178</v>
          </cell>
        </row>
        <row r="23">
          <cell r="K23">
            <v>51.073150684931512</v>
          </cell>
        </row>
        <row r="24">
          <cell r="K24">
            <v>54.97457191780822</v>
          </cell>
        </row>
        <row r="25">
          <cell r="K25">
            <v>51.309143835616439</v>
          </cell>
        </row>
        <row r="26">
          <cell r="K26">
            <v>40.639726027397259</v>
          </cell>
        </row>
        <row r="27">
          <cell r="K27">
            <v>38.136986301369859</v>
          </cell>
        </row>
        <row r="28">
          <cell r="K28">
            <v>37.896438356164388</v>
          </cell>
        </row>
        <row r="29">
          <cell r="K29">
            <v>34.142465753424659</v>
          </cell>
        </row>
        <row r="30">
          <cell r="K30">
            <v>33.004383561643834</v>
          </cell>
        </row>
        <row r="31">
          <cell r="K31">
            <v>31.866301369863013</v>
          </cell>
        </row>
        <row r="32">
          <cell r="K32">
            <v>30.728219178082192</v>
          </cell>
        </row>
      </sheetData>
      <sheetData sheetId="13">
        <row r="52">
          <cell r="L52">
            <v>315.66584876712335</v>
          </cell>
        </row>
        <row r="53">
          <cell r="L53">
            <v>285.83307945205479</v>
          </cell>
        </row>
        <row r="54">
          <cell r="L54">
            <v>236.1687846575343</v>
          </cell>
        </row>
        <row r="55">
          <cell r="L55">
            <v>246.35251561643835</v>
          </cell>
        </row>
        <row r="56">
          <cell r="L56">
            <v>208.32098630136989</v>
          </cell>
        </row>
        <row r="57">
          <cell r="L57">
            <v>207.69203342465752</v>
          </cell>
        </row>
        <row r="58">
          <cell r="L58">
            <v>199.2157808219178</v>
          </cell>
        </row>
        <row r="59">
          <cell r="L59">
            <v>191.13649315972606</v>
          </cell>
        </row>
        <row r="60">
          <cell r="L60">
            <v>180.79436712328769</v>
          </cell>
        </row>
        <row r="61">
          <cell r="L61">
            <v>176.49226849315065</v>
          </cell>
        </row>
        <row r="62">
          <cell r="L62">
            <v>172.19016986301369</v>
          </cell>
        </row>
        <row r="63">
          <cell r="L63">
            <v>167.88807123287671</v>
          </cell>
        </row>
      </sheetData>
      <sheetData sheetId="14">
        <row r="44">
          <cell r="L44">
            <v>128.16961095890412</v>
          </cell>
        </row>
        <row r="45">
          <cell r="L45">
            <v>116.83788493150686</v>
          </cell>
        </row>
        <row r="46">
          <cell r="L46">
            <v>97.946849315068476</v>
          </cell>
        </row>
        <row r="47">
          <cell r="L47">
            <v>103.89807671</v>
          </cell>
        </row>
        <row r="48">
          <cell r="L48">
            <v>88.658652063835618</v>
          </cell>
        </row>
        <row r="49">
          <cell r="L49">
            <v>90.373863628897453</v>
          </cell>
        </row>
        <row r="50">
          <cell r="L50">
            <v>88.201413694383561</v>
          </cell>
        </row>
        <row r="51">
          <cell r="L51">
            <v>85.403956170136993</v>
          </cell>
        </row>
        <row r="52">
          <cell r="L52">
            <v>85.251189041095884</v>
          </cell>
        </row>
        <row r="53">
          <cell r="L53">
            <v>84.885304109589029</v>
          </cell>
        </row>
        <row r="54">
          <cell r="L54">
            <v>84.519419178082188</v>
          </cell>
        </row>
        <row r="55">
          <cell r="L55">
            <v>84.153534246575319</v>
          </cell>
        </row>
      </sheetData>
      <sheetData sheetId="15">
        <row r="54">
          <cell r="K54">
            <v>32.995618630136981</v>
          </cell>
        </row>
        <row r="55">
          <cell r="K55">
            <v>32.444379178082194</v>
          </cell>
        </row>
        <row r="56">
          <cell r="K56">
            <v>28.806706849315066</v>
          </cell>
        </row>
        <row r="57">
          <cell r="K57">
            <v>31.30252602739726</v>
          </cell>
        </row>
        <row r="58">
          <cell r="K58">
            <v>1.9814136986301369</v>
          </cell>
        </row>
        <row r="59">
          <cell r="K59">
            <v>33.388273972602747</v>
          </cell>
        </row>
        <row r="60">
          <cell r="K60">
            <v>36.254712328767127</v>
          </cell>
        </row>
        <row r="61">
          <cell r="K61">
            <v>34.397260273972606</v>
          </cell>
        </row>
        <row r="62">
          <cell r="K62">
            <v>34.761871232876715</v>
          </cell>
        </row>
        <row r="63">
          <cell r="K63">
            <v>33.979906849315078</v>
          </cell>
        </row>
        <row r="64">
          <cell r="K64">
            <v>33.197942465753435</v>
          </cell>
        </row>
        <row r="65">
          <cell r="K65">
            <v>26.931984657534247</v>
          </cell>
        </row>
        <row r="66">
          <cell r="K66">
            <v>26.223248219178085</v>
          </cell>
        </row>
      </sheetData>
      <sheetData sheetId="16"/>
      <sheetData sheetId="17">
        <row r="10">
          <cell r="J10">
            <v>24.880547945205478</v>
          </cell>
        </row>
        <row r="11">
          <cell r="J11">
            <v>41.899178082191781</v>
          </cell>
        </row>
        <row r="12">
          <cell r="J12">
            <v>40.90301369863014</v>
          </cell>
        </row>
        <row r="13">
          <cell r="J13">
            <v>38.255342465753422</v>
          </cell>
        </row>
        <row r="14">
          <cell r="J14">
            <v>38.028493150684923</v>
          </cell>
        </row>
        <row r="15">
          <cell r="J15">
            <v>37.437808219178081</v>
          </cell>
        </row>
        <row r="16">
          <cell r="J16">
            <v>37.437808219178081</v>
          </cell>
        </row>
        <row r="17">
          <cell r="J17">
            <v>37.437808219178081</v>
          </cell>
        </row>
      </sheetData>
      <sheetData sheetId="18"/>
      <sheetData sheetId="19"/>
      <sheetData sheetId="20">
        <row r="11">
          <cell r="K11">
            <v>48.945205479452056</v>
          </cell>
        </row>
        <row r="12">
          <cell r="K12">
            <v>57.32027396585918</v>
          </cell>
        </row>
        <row r="13">
          <cell r="K13">
            <v>52.208219165030151</v>
          </cell>
        </row>
        <row r="14">
          <cell r="K14">
            <v>44.054794502926029</v>
          </cell>
        </row>
        <row r="15">
          <cell r="K15">
            <v>41.117808195682201</v>
          </cell>
        </row>
        <row r="16">
          <cell r="K16">
            <v>38.180821870816438</v>
          </cell>
        </row>
        <row r="17">
          <cell r="K17">
            <v>35.243835528328766</v>
          </cell>
        </row>
        <row r="18">
          <cell r="K18">
            <v>32.306849168219181</v>
          </cell>
        </row>
      </sheetData>
      <sheetData sheetId="21">
        <row r="11">
          <cell r="K11">
            <v>39.943013698630139</v>
          </cell>
        </row>
        <row r="12">
          <cell r="K12">
            <v>34.395372890967664</v>
          </cell>
        </row>
        <row r="13">
          <cell r="K13">
            <v>31.327853849950685</v>
          </cell>
        </row>
        <row r="14">
          <cell r="K14">
            <v>30.34885839893041</v>
          </cell>
        </row>
        <row r="15">
          <cell r="K15">
            <v>27.411872083463013</v>
          </cell>
        </row>
      </sheetData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Master Summary"/>
      <sheetName val="Term Loans"/>
      <sheetName val="Loans From Related Parties"/>
      <sheetName val="Projects Loan"/>
      <sheetName val="2.PB 10 Bn"/>
      <sheetName val="3..PB-OD"/>
      <sheetName val="Repayment"/>
      <sheetName val="Sheet1"/>
      <sheetName val="NSB"/>
      <sheetName val="Sampath"/>
      <sheetName val="Seylan"/>
      <sheetName val="NTB3Bn"/>
      <sheetName val="BOC 15 Bn"/>
      <sheetName val="BOC 5 Bn"/>
      <sheetName val="Seylan 2Bn"/>
      <sheetName val="PB 35 Bn"/>
      <sheetName val="Seylan 2Bn new"/>
      <sheetName val="PB 10 Bn "/>
      <sheetName val="NTB 1Bn"/>
      <sheetName val="NTB 3 new"/>
      <sheetName val="NTB 2Bn"/>
      <sheetName val="NSB 5Bn"/>
      <sheetName val="Sheet2"/>
      <sheetName val="LECO 2B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3">
          <cell r="M33">
            <v>102.16734246575344</v>
          </cell>
        </row>
        <row r="34">
          <cell r="M34">
            <v>96.371610958904128</v>
          </cell>
        </row>
        <row r="35">
          <cell r="M35">
            <v>85.775123287671235</v>
          </cell>
        </row>
        <row r="36">
          <cell r="M36">
            <v>84.968829448383104</v>
          </cell>
        </row>
        <row r="37">
          <cell r="M37">
            <v>77.572058164102685</v>
          </cell>
        </row>
        <row r="38">
          <cell r="M38">
            <v>62.960745205479448</v>
          </cell>
        </row>
        <row r="39">
          <cell r="M39">
            <v>53.734431496487275</v>
          </cell>
        </row>
        <row r="40">
          <cell r="M40">
            <v>49.334618467482208</v>
          </cell>
        </row>
        <row r="41">
          <cell r="M41">
            <v>31.364624657534247</v>
          </cell>
        </row>
        <row r="42">
          <cell r="M42">
            <v>25.875815342465753</v>
          </cell>
        </row>
        <row r="43">
          <cell r="M43">
            <v>20.387006027397263</v>
          </cell>
        </row>
        <row r="44">
          <cell r="M44">
            <v>14.898196712328767</v>
          </cell>
        </row>
      </sheetData>
      <sheetData sheetId="10"/>
      <sheetData sheetId="11"/>
      <sheetData sheetId="12">
        <row r="21">
          <cell r="K21">
            <v>59.50513698630138</v>
          </cell>
        </row>
        <row r="22">
          <cell r="K22">
            <v>57.950616438356178</v>
          </cell>
        </row>
        <row r="23">
          <cell r="K23">
            <v>51.073150684931512</v>
          </cell>
        </row>
        <row r="24">
          <cell r="K24">
            <v>54.97457191780822</v>
          </cell>
        </row>
        <row r="25">
          <cell r="K25">
            <v>51.309143835616439</v>
          </cell>
        </row>
        <row r="26">
          <cell r="K26">
            <v>40.639726027397259</v>
          </cell>
        </row>
        <row r="27">
          <cell r="K27">
            <v>38.136986301369859</v>
          </cell>
        </row>
        <row r="28">
          <cell r="K28">
            <v>37.896438356164388</v>
          </cell>
        </row>
        <row r="29">
          <cell r="K29">
            <v>34.142465753424659</v>
          </cell>
        </row>
        <row r="30">
          <cell r="K30">
            <v>33.004383561643834</v>
          </cell>
        </row>
        <row r="31">
          <cell r="K31">
            <v>31.866301369863013</v>
          </cell>
        </row>
        <row r="32">
          <cell r="K32">
            <v>30.728219178082192</v>
          </cell>
        </row>
      </sheetData>
      <sheetData sheetId="13">
        <row r="52">
          <cell r="L52">
            <v>315.66584876712335</v>
          </cell>
        </row>
        <row r="53">
          <cell r="L53">
            <v>285.83307945205479</v>
          </cell>
        </row>
        <row r="54">
          <cell r="L54">
            <v>236.1687846575343</v>
          </cell>
        </row>
        <row r="55">
          <cell r="L55">
            <v>246.35251561643835</v>
          </cell>
        </row>
        <row r="56">
          <cell r="L56">
            <v>208.32098630136989</v>
          </cell>
        </row>
        <row r="57">
          <cell r="L57">
            <v>207.69203342465752</v>
          </cell>
        </row>
        <row r="58">
          <cell r="L58">
            <v>199.2157808219178</v>
          </cell>
        </row>
        <row r="59">
          <cell r="L59">
            <v>191.13649315972606</v>
          </cell>
        </row>
        <row r="60">
          <cell r="L60">
            <v>180.79436712328769</v>
          </cell>
        </row>
        <row r="61">
          <cell r="L61">
            <v>176.49226849315065</v>
          </cell>
        </row>
        <row r="62">
          <cell r="L62">
            <v>172.19016986301369</v>
          </cell>
        </row>
        <row r="63">
          <cell r="L63">
            <v>167.88807123287671</v>
          </cell>
        </row>
      </sheetData>
      <sheetData sheetId="14">
        <row r="44">
          <cell r="L44">
            <v>128.16961095890412</v>
          </cell>
        </row>
        <row r="45">
          <cell r="L45">
            <v>116.83788493150686</v>
          </cell>
        </row>
        <row r="46">
          <cell r="L46">
            <v>97.946849315068476</v>
          </cell>
        </row>
        <row r="47">
          <cell r="L47">
            <v>103.89807671</v>
          </cell>
        </row>
        <row r="48">
          <cell r="L48">
            <v>88.658652063835618</v>
          </cell>
        </row>
        <row r="49">
          <cell r="L49">
            <v>90.373863628897453</v>
          </cell>
        </row>
        <row r="50">
          <cell r="L50">
            <v>88.201413694383561</v>
          </cell>
        </row>
        <row r="51">
          <cell r="L51">
            <v>85.403956170136993</v>
          </cell>
        </row>
        <row r="52">
          <cell r="L52">
            <v>85.251189041095884</v>
          </cell>
        </row>
        <row r="53">
          <cell r="L53">
            <v>84.885304109589029</v>
          </cell>
        </row>
        <row r="54">
          <cell r="L54">
            <v>84.519419178082188</v>
          </cell>
        </row>
        <row r="55">
          <cell r="L55">
            <v>84.153534246575319</v>
          </cell>
        </row>
      </sheetData>
      <sheetData sheetId="15">
        <row r="54">
          <cell r="K54">
            <v>32.995618630136981</v>
          </cell>
        </row>
        <row r="55">
          <cell r="K55">
            <v>32.444379178082194</v>
          </cell>
        </row>
        <row r="56">
          <cell r="K56">
            <v>28.806706849315066</v>
          </cell>
        </row>
        <row r="57">
          <cell r="K57">
            <v>31.30252602739726</v>
          </cell>
        </row>
        <row r="58">
          <cell r="K58">
            <v>1.9814136986301369</v>
          </cell>
        </row>
        <row r="59">
          <cell r="K59">
            <v>33.388273972602747</v>
          </cell>
        </row>
        <row r="60">
          <cell r="K60">
            <v>36.254712328767127</v>
          </cell>
        </row>
        <row r="61">
          <cell r="K61">
            <v>34.397260273972606</v>
          </cell>
        </row>
        <row r="62">
          <cell r="K62">
            <v>34.761871232876715</v>
          </cell>
        </row>
        <row r="63">
          <cell r="K63">
            <v>33.979906849315078</v>
          </cell>
        </row>
        <row r="64">
          <cell r="K64">
            <v>33.197942465753435</v>
          </cell>
        </row>
        <row r="65">
          <cell r="K65">
            <v>26.931984657534247</v>
          </cell>
        </row>
        <row r="66">
          <cell r="K66">
            <v>26.223248219178085</v>
          </cell>
        </row>
      </sheetData>
      <sheetData sheetId="16"/>
      <sheetData sheetId="17">
        <row r="10">
          <cell r="J10">
            <v>24.880547945205478</v>
          </cell>
        </row>
        <row r="11">
          <cell r="J11">
            <v>41.899178082191781</v>
          </cell>
        </row>
        <row r="12">
          <cell r="J12">
            <v>40.90301369863014</v>
          </cell>
        </row>
        <row r="13">
          <cell r="J13">
            <v>38.255342465753422</v>
          </cell>
        </row>
        <row r="14">
          <cell r="J14">
            <v>38.028493150684923</v>
          </cell>
        </row>
        <row r="15">
          <cell r="J15">
            <v>37.437808219178081</v>
          </cell>
        </row>
        <row r="16">
          <cell r="J16">
            <v>37.437808219178081</v>
          </cell>
        </row>
        <row r="17">
          <cell r="J17">
            <v>37.437808219178081</v>
          </cell>
        </row>
      </sheetData>
      <sheetData sheetId="18"/>
      <sheetData sheetId="19"/>
      <sheetData sheetId="20">
        <row r="11">
          <cell r="K11">
            <v>48.945205479452056</v>
          </cell>
        </row>
        <row r="12">
          <cell r="K12">
            <v>57.32027396585918</v>
          </cell>
        </row>
        <row r="13">
          <cell r="K13">
            <v>52.208219165030151</v>
          </cell>
        </row>
        <row r="14">
          <cell r="K14">
            <v>44.054794502926029</v>
          </cell>
        </row>
        <row r="15">
          <cell r="K15">
            <v>41.117808195682201</v>
          </cell>
        </row>
        <row r="16">
          <cell r="K16">
            <v>38.180821870816438</v>
          </cell>
        </row>
        <row r="17">
          <cell r="K17">
            <v>35.243835528328766</v>
          </cell>
        </row>
        <row r="18">
          <cell r="K18">
            <v>32.306849168219181</v>
          </cell>
        </row>
      </sheetData>
      <sheetData sheetId="21">
        <row r="11">
          <cell r="K11">
            <v>39.943013698630139</v>
          </cell>
        </row>
        <row r="12">
          <cell r="K12">
            <v>34.395372890967664</v>
          </cell>
        </row>
        <row r="13">
          <cell r="K13">
            <v>31.327853849950685</v>
          </cell>
        </row>
        <row r="14">
          <cell r="K14">
            <v>30.34885839893041</v>
          </cell>
        </row>
        <row r="15">
          <cell r="K15">
            <v>27.411872083463013</v>
          </cell>
        </row>
      </sheetData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 "/>
      <sheetName val="Detail Cashflow"/>
      <sheetName val="Deference"/>
      <sheetName val="P&amp;l "/>
      <sheetName val="B.S "/>
      <sheetName val="CF Print"/>
      <sheetName val="P&amp;L Notes"/>
      <sheetName val="PPEnew"/>
      <sheetName val="B.S Notes"/>
      <sheetName val="TB"/>
      <sheetName val="CS"/>
      <sheetName val="Cu AC "/>
      <sheetName val="R1 BS"/>
      <sheetName val="R2 BS"/>
      <sheetName val="R3 BS"/>
      <sheetName val="R4 BS"/>
      <sheetName val="Gen BS"/>
      <sheetName val="Tra BS"/>
      <sheetName val="AM&amp;CS BS"/>
      <sheetName val="Pro BS"/>
      <sheetName val="HQ BS"/>
      <sheetName val="R-1CS"/>
      <sheetName val="R-2 CS"/>
      <sheetName val="R-3 CS"/>
      <sheetName val="R-4 CS"/>
      <sheetName val="Gen CS"/>
      <sheetName val="Tra CS"/>
      <sheetName val="AM &amp; CS"/>
      <sheetName val="Pro CS"/>
      <sheetName val="HQ CS"/>
      <sheetName val="Sam"/>
      <sheetName val="Char"/>
      <sheetName val="Sheet1"/>
      <sheetName val="Sheet2"/>
      <sheetName val="CF_"/>
      <sheetName val="Detail_Cashflow"/>
      <sheetName val="P&amp;l_"/>
      <sheetName val="B_S_"/>
      <sheetName val="CF_Print"/>
      <sheetName val="P&amp;L_Notes"/>
      <sheetName val="B_S_Notes"/>
      <sheetName val="Cu_AC_"/>
      <sheetName val="R1_BS"/>
      <sheetName val="R2_BS"/>
      <sheetName val="R3_BS"/>
      <sheetName val="R4_BS"/>
      <sheetName val="Gen_BS"/>
      <sheetName val="Tra_BS"/>
      <sheetName val="AM&amp;CS_BS"/>
      <sheetName val="Pro_BS"/>
      <sheetName val="HQ_BS"/>
      <sheetName val="R-2_CS"/>
      <sheetName val="R-3_CS"/>
      <sheetName val="R-4_CS"/>
      <sheetName val="Gen_CS"/>
      <sheetName val="Tra_CS"/>
      <sheetName val="AM_&amp;_CS"/>
      <sheetName val="Pro_CS"/>
      <sheetName val="HQ_CS"/>
      <sheetName val="CF_1"/>
      <sheetName val="Detail_Cashflow1"/>
      <sheetName val="P&amp;l_1"/>
      <sheetName val="B_S_1"/>
      <sheetName val="CF_Print1"/>
      <sheetName val="P&amp;L_Notes1"/>
      <sheetName val="B_S_Notes1"/>
      <sheetName val="Cu_AC_1"/>
      <sheetName val="R1_BS1"/>
      <sheetName val="R2_BS1"/>
      <sheetName val="R3_BS1"/>
      <sheetName val="R4_BS1"/>
      <sheetName val="Gen_BS1"/>
      <sheetName val="Tra_BS1"/>
      <sheetName val="AM&amp;CS_BS1"/>
      <sheetName val="Pro_BS1"/>
      <sheetName val="HQ_BS1"/>
      <sheetName val="R-2_CS1"/>
      <sheetName val="R-3_CS1"/>
      <sheetName val="R-4_CS1"/>
      <sheetName val="Gen_CS1"/>
      <sheetName val="Tra_CS1"/>
      <sheetName val="AM_&amp;_CS1"/>
      <sheetName val="Pro_CS1"/>
      <sheetName val="HQ_CS1"/>
      <sheetName val="CF_2"/>
      <sheetName val="Detail_Cashflow2"/>
      <sheetName val="P&amp;l_2"/>
      <sheetName val="B_S_2"/>
      <sheetName val="CF_Print2"/>
      <sheetName val="P&amp;L_Notes2"/>
      <sheetName val="B_S_Notes2"/>
      <sheetName val="Cu_AC_2"/>
      <sheetName val="R1_BS2"/>
      <sheetName val="R2_BS2"/>
      <sheetName val="R3_BS2"/>
      <sheetName val="R4_BS2"/>
      <sheetName val="Gen_BS2"/>
      <sheetName val="Tra_BS2"/>
      <sheetName val="AM&amp;CS_BS2"/>
      <sheetName val="Pro_BS2"/>
      <sheetName val="HQ_BS2"/>
      <sheetName val="R-2_CS2"/>
      <sheetName val="R-3_CS2"/>
      <sheetName val="R-4_CS2"/>
      <sheetName val="Gen_CS2"/>
      <sheetName val="Tra_CS2"/>
      <sheetName val="AM_&amp;_CS2"/>
      <sheetName val="Pro_CS2"/>
      <sheetName val="HQ_CS2"/>
    </sheetNames>
    <sheetDataSet>
      <sheetData sheetId="0">
        <row r="9">
          <cell r="B9">
            <v>1100</v>
          </cell>
        </row>
      </sheetData>
      <sheetData sheetId="1">
        <row r="9">
          <cell r="B9">
            <v>1100</v>
          </cell>
        </row>
      </sheetData>
      <sheetData sheetId="2">
        <row r="9">
          <cell r="B9">
            <v>1100</v>
          </cell>
        </row>
      </sheetData>
      <sheetData sheetId="3">
        <row r="9">
          <cell r="B9">
            <v>1100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>
            <v>1100</v>
          </cell>
        </row>
      </sheetData>
      <sheetData sheetId="22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-2319068661.3099995</v>
          </cell>
          <cell r="N11">
            <v>-9583299356.25</v>
          </cell>
          <cell r="O11">
            <v>-1198490943.4200001</v>
          </cell>
          <cell r="P11">
            <v>13100858960.98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-3482966268.6600008</v>
          </cell>
          <cell r="N13">
            <v>-4477426609.9799995</v>
          </cell>
          <cell r="O13">
            <v>-2387172196.6400003</v>
          </cell>
          <cell r="P13">
            <v>10347565075.280001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-572784455</v>
          </cell>
          <cell r="N14">
            <v>-547009935</v>
          </cell>
          <cell r="O14">
            <v>-296553015</v>
          </cell>
          <cell r="P14">
            <v>1416347405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-1293205333.1999998</v>
          </cell>
          <cell r="N15">
            <v>-2096685827.8800001</v>
          </cell>
          <cell r="O15">
            <v>-666058281.91999996</v>
          </cell>
          <cell r="P15">
            <v>4055949443</v>
          </cell>
        </row>
        <row r="16">
          <cell r="B16">
            <v>0</v>
          </cell>
          <cell r="C16" t="str">
            <v>SUB TOTAL OF TURNOVER</v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>
            <v>28920720884.260002</v>
          </cell>
        </row>
        <row r="17">
          <cell r="B17">
            <v>0</v>
          </cell>
          <cell r="C17" t="str">
            <v xml:space="preserve"> INTEREST INCOME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>
            <v>0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-61427.839999999997</v>
          </cell>
          <cell r="N18">
            <v>0</v>
          </cell>
          <cell r="O18">
            <v>0</v>
          </cell>
          <cell r="P18">
            <v>61427.839999999997</v>
          </cell>
        </row>
        <row r="19">
          <cell r="B19">
            <v>1420</v>
          </cell>
          <cell r="C19" t="str">
            <v>Interest on Staff Loan Account</v>
          </cell>
          <cell r="D19">
            <v>-158922.18</v>
          </cell>
          <cell r="E19">
            <v>-323552.13</v>
          </cell>
          <cell r="F19">
            <v>-423271.48</v>
          </cell>
          <cell r="G19">
            <v>-316667.46999999997</v>
          </cell>
          <cell r="H19">
            <v>-259540.12</v>
          </cell>
          <cell r="I19">
            <v>-188304.9</v>
          </cell>
          <cell r="J19">
            <v>-580285.06999999995</v>
          </cell>
          <cell r="K19">
            <v>-686026.09000000008</v>
          </cell>
          <cell r="L19">
            <v>-26100.819999999996</v>
          </cell>
          <cell r="M19">
            <v>-10753544.16</v>
          </cell>
          <cell r="N19">
            <v>-8513321.2699999996</v>
          </cell>
          <cell r="O19">
            <v>-6173483.6500000004</v>
          </cell>
          <cell r="P19">
            <v>28403019.339999996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B21">
            <v>0</v>
          </cell>
          <cell r="C21" t="str">
            <v>SUB TOTAL OF INTEREST INCOME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>
            <v>28464447.179999996</v>
          </cell>
        </row>
        <row r="22">
          <cell r="B22">
            <v>0</v>
          </cell>
          <cell r="C22" t="str">
            <v>DIVIDEND INCOME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>
            <v>0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B24">
            <v>0</v>
          </cell>
          <cell r="C24" t="str">
            <v>SUB TOTAL OF DIVIDEND INCOME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>
            <v>0</v>
          </cell>
        </row>
        <row r="25">
          <cell r="B25">
            <v>0</v>
          </cell>
          <cell r="C25" t="str">
            <v xml:space="preserve"> OVERHEAD RECOVERIES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>
            <v>0</v>
          </cell>
        </row>
        <row r="26">
          <cell r="B26">
            <v>1330</v>
          </cell>
          <cell r="C26" t="str">
            <v>Overhead Recoveries Account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-12110127.699999999</v>
          </cell>
          <cell r="K26">
            <v>-4387581</v>
          </cell>
          <cell r="L26">
            <v>0</v>
          </cell>
          <cell r="M26">
            <v>-56707366.640880011</v>
          </cell>
          <cell r="N26">
            <v>-41845275.769999996</v>
          </cell>
          <cell r="O26">
            <v>-80923733.150000006</v>
          </cell>
          <cell r="P26">
            <v>195974084.26087999</v>
          </cell>
        </row>
        <row r="27">
          <cell r="B27">
            <v>1510</v>
          </cell>
          <cell r="C27" t="str">
            <v>Recoveries on House Rent Account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-34440</v>
          </cell>
          <cell r="J27">
            <v>0</v>
          </cell>
          <cell r="K27">
            <v>-21092.75</v>
          </cell>
          <cell r="L27">
            <v>0</v>
          </cell>
          <cell r="M27">
            <v>-444948.39</v>
          </cell>
          <cell r="N27">
            <v>-409923.75</v>
          </cell>
          <cell r="O27">
            <v>-303035.25</v>
          </cell>
          <cell r="P27">
            <v>1213440.1400000001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-1800</v>
          </cell>
          <cell r="P28">
            <v>1800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  <cell r="F29">
            <v>-4900</v>
          </cell>
          <cell r="G29">
            <v>-300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-13650</v>
          </cell>
          <cell r="O29">
            <v>0</v>
          </cell>
          <cell r="P29">
            <v>18850</v>
          </cell>
        </row>
        <row r="30">
          <cell r="B30">
            <v>1540</v>
          </cell>
          <cell r="C30" t="str">
            <v>Recoveries on Circuit Bungalow Account</v>
          </cell>
          <cell r="D30">
            <v>-700</v>
          </cell>
          <cell r="E30">
            <v>-3350</v>
          </cell>
          <cell r="F30">
            <v>-6900</v>
          </cell>
          <cell r="G30">
            <v>-2900</v>
          </cell>
          <cell r="H30">
            <v>-5000</v>
          </cell>
          <cell r="I30">
            <v>0</v>
          </cell>
          <cell r="J30">
            <v>-1950</v>
          </cell>
          <cell r="K30">
            <v>-4000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24800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-234375.64</v>
          </cell>
          <cell r="P31">
            <v>234375.64</v>
          </cell>
        </row>
        <row r="32">
          <cell r="B32">
            <v>0</v>
          </cell>
          <cell r="C32" t="str">
            <v>SUB TOTAL OF OVERHEAD RECOVERIES</v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>
            <v>197467350.04087996</v>
          </cell>
        </row>
        <row r="33">
          <cell r="B33">
            <v>0</v>
          </cell>
          <cell r="C33" t="str">
            <v xml:space="preserve"> PROFIT / LOSS ON DISPOSAl OF PPE</v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  <cell r="F35">
            <v>-782611.2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-2398293.44</v>
          </cell>
          <cell r="P35">
            <v>3180904.6399999997</v>
          </cell>
        </row>
        <row r="36">
          <cell r="B36">
            <v>0</v>
          </cell>
          <cell r="C36" t="str">
            <v>SUB TOTAL OF PROFIT / LOSS ON DISPOSAl OF PPE</v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>
            <v>3180904.6399999997</v>
          </cell>
        </row>
        <row r="37">
          <cell r="B37">
            <v>0</v>
          </cell>
          <cell r="C37" t="str">
            <v xml:space="preserve"> MISSELANIOUS INCOME</v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-7798338.5999999996</v>
          </cell>
          <cell r="N38">
            <v>-17774195.390000001</v>
          </cell>
          <cell r="O38">
            <v>-37675693.25</v>
          </cell>
          <cell r="P38">
            <v>63248227.240000002</v>
          </cell>
        </row>
        <row r="39">
          <cell r="B39">
            <v>1300</v>
          </cell>
          <cell r="C39" t="str">
            <v>Miscellaneous Income Account</v>
          </cell>
          <cell r="D39">
            <v>-48.82</v>
          </cell>
          <cell r="E39">
            <v>-2904.69</v>
          </cell>
          <cell r="F39">
            <v>-11245.25</v>
          </cell>
          <cell r="G39">
            <v>-331870.55</v>
          </cell>
          <cell r="H39">
            <v>-1680916</v>
          </cell>
          <cell r="I39">
            <v>0</v>
          </cell>
          <cell r="J39">
            <v>-842742.64</v>
          </cell>
          <cell r="K39">
            <v>-350972.74</v>
          </cell>
          <cell r="L39">
            <v>-1385136</v>
          </cell>
          <cell r="M39">
            <v>-36144785.329999991</v>
          </cell>
          <cell r="N39">
            <v>-78861863.940000013</v>
          </cell>
          <cell r="O39">
            <v>-45431927.390000001</v>
          </cell>
          <cell r="P39">
            <v>165044413.35000002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-3985292.5100000002</v>
          </cell>
          <cell r="N40">
            <v>-4813.25</v>
          </cell>
          <cell r="O40">
            <v>-1678762.67</v>
          </cell>
          <cell r="P40">
            <v>5668868.4299999997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-152526.47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152526.47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  <cell r="F42">
            <v>-3821924.71</v>
          </cell>
          <cell r="G42">
            <v>0</v>
          </cell>
          <cell r="H42">
            <v>-874205.76</v>
          </cell>
          <cell r="I42">
            <v>0</v>
          </cell>
          <cell r="J42">
            <v>-1064025.8400000001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-921633.51</v>
          </cell>
          <cell r="P42">
            <v>6681789.8199999994</v>
          </cell>
        </row>
        <row r="43">
          <cell r="B43">
            <v>1320</v>
          </cell>
          <cell r="C43" t="str">
            <v>Materials removed from existing assets or ongoing jobs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-1628395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-271545</v>
          </cell>
          <cell r="P43">
            <v>1899940</v>
          </cell>
        </row>
        <row r="44">
          <cell r="B44">
            <v>1325</v>
          </cell>
          <cell r="C44" t="str">
            <v>Sale Of Ash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0</v>
          </cell>
          <cell r="E45">
            <v>0</v>
          </cell>
          <cell r="F45">
            <v>-235063795.59</v>
          </cell>
          <cell r="G45">
            <v>0</v>
          </cell>
          <cell r="H45">
            <v>-5498960</v>
          </cell>
          <cell r="I45">
            <v>0</v>
          </cell>
          <cell r="J45">
            <v>0</v>
          </cell>
          <cell r="K45">
            <v>-22035.004280000911</v>
          </cell>
          <cell r="L45">
            <v>-23953214.199999999</v>
          </cell>
          <cell r="M45">
            <v>-117930834.61</v>
          </cell>
          <cell r="N45">
            <v>-75501141.339999989</v>
          </cell>
          <cell r="O45">
            <v>-131855363.83000001</v>
          </cell>
          <cell r="P45">
            <v>589825344.57428002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0</v>
          </cell>
          <cell r="E46">
            <v>0</v>
          </cell>
          <cell r="F46">
            <v>-590500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-2864682.19</v>
          </cell>
          <cell r="N46">
            <v>0</v>
          </cell>
          <cell r="O46">
            <v>-120500</v>
          </cell>
          <cell r="P46">
            <v>3575682.19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-1196379</v>
          </cell>
          <cell r="P47">
            <v>1196379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-86863742.059999973</v>
          </cell>
          <cell r="N48">
            <v>173989.74</v>
          </cell>
          <cell r="O48">
            <v>0</v>
          </cell>
          <cell r="P48">
            <v>86689752.319999978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-4596212.1899999995</v>
          </cell>
          <cell r="N49">
            <v>-3458421.82</v>
          </cell>
          <cell r="O49">
            <v>-4246167.05</v>
          </cell>
          <cell r="P49">
            <v>12300801.059999999</v>
          </cell>
        </row>
        <row r="50">
          <cell r="B50">
            <v>1385</v>
          </cell>
          <cell r="C50" t="str">
            <v>Fees collected from recovery training conducted by C.E.B</v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0</v>
          </cell>
        </row>
        <row r="51">
          <cell r="B51">
            <v>1390</v>
          </cell>
          <cell r="C51" t="str">
            <v>acturial gain or loss</v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>
            <v>0</v>
          </cell>
        </row>
        <row r="52">
          <cell r="B52">
            <v>0</v>
          </cell>
          <cell r="C52" t="str">
            <v>SUB TOTAL OF MISSELANIOUS INCOME</v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>
            <v>936283724.45428002</v>
          </cell>
        </row>
        <row r="53">
          <cell r="B53">
            <v>0</v>
          </cell>
          <cell r="C53" t="str">
            <v>TOTAL INCOME</v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>
            <v>30086117310.575161</v>
          </cell>
        </row>
        <row r="54">
          <cell r="B54">
            <v>0</v>
          </cell>
          <cell r="C54" t="str">
            <v xml:space="preserve"> PERSONNEL EXPENSES</v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>
            <v>0</v>
          </cell>
        </row>
        <row r="55">
          <cell r="B55">
            <v>2100</v>
          </cell>
          <cell r="C55" t="str">
            <v>Management Staff Salaries Account</v>
          </cell>
          <cell r="D55">
            <v>1661450</v>
          </cell>
          <cell r="E55">
            <v>3625906.66</v>
          </cell>
          <cell r="F55">
            <v>7004353.0800000001</v>
          </cell>
          <cell r="G55">
            <v>2988980.0100000002</v>
          </cell>
          <cell r="H55">
            <v>531351.66</v>
          </cell>
          <cell r="I55">
            <v>2392010.9900000002</v>
          </cell>
          <cell r="J55">
            <v>2844582.9</v>
          </cell>
          <cell r="K55">
            <v>3975100.16</v>
          </cell>
          <cell r="L55">
            <v>0</v>
          </cell>
          <cell r="M55">
            <v>32958186.800000004</v>
          </cell>
          <cell r="N55">
            <v>26632193.269999996</v>
          </cell>
          <cell r="O55">
            <v>14916146.990000002</v>
          </cell>
          <cell r="P55">
            <v>99530262.520000011</v>
          </cell>
        </row>
        <row r="56">
          <cell r="B56">
            <v>2110</v>
          </cell>
          <cell r="C56" t="str">
            <v>Management Staff Allowances Account</v>
          </cell>
          <cell r="D56">
            <v>1068524.1200000001</v>
          </cell>
          <cell r="E56">
            <v>324870.5</v>
          </cell>
          <cell r="F56">
            <v>2607301.0100000002</v>
          </cell>
          <cell r="G56">
            <v>318473.61</v>
          </cell>
          <cell r="H56">
            <v>64135.16</v>
          </cell>
          <cell r="I56">
            <v>800583.73</v>
          </cell>
          <cell r="J56">
            <v>895330.85000000009</v>
          </cell>
          <cell r="K56">
            <v>1443606.9800000002</v>
          </cell>
          <cell r="L56">
            <v>0</v>
          </cell>
          <cell r="M56">
            <v>6439716.1299999999</v>
          </cell>
          <cell r="N56">
            <v>4668388.1700000009</v>
          </cell>
          <cell r="O56">
            <v>3572689.72</v>
          </cell>
          <cell r="P56">
            <v>22203619.98</v>
          </cell>
        </row>
        <row r="57">
          <cell r="B57">
            <v>2120</v>
          </cell>
          <cell r="C57" t="str">
            <v>All the related expenses on Board of Directors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1705012.68</v>
          </cell>
          <cell r="E58">
            <v>3843404.98</v>
          </cell>
          <cell r="F58">
            <v>3704378.63</v>
          </cell>
          <cell r="G58">
            <v>4175444.1199999996</v>
          </cell>
          <cell r="H58">
            <v>4380237.9399999995</v>
          </cell>
          <cell r="I58">
            <v>1601435.7599999998</v>
          </cell>
          <cell r="J58">
            <v>9090422.7599999998</v>
          </cell>
          <cell r="K58">
            <v>8470399.629999999</v>
          </cell>
          <cell r="L58">
            <v>483762.44</v>
          </cell>
          <cell r="M58">
            <v>203508172.171</v>
          </cell>
          <cell r="N58">
            <v>142387943.28999999</v>
          </cell>
          <cell r="O58">
            <v>110624081.89999999</v>
          </cell>
          <cell r="P58">
            <v>493974696.301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733809.37000000011</v>
          </cell>
          <cell r="E60">
            <v>709267.31</v>
          </cell>
          <cell r="F60">
            <v>678052.99</v>
          </cell>
          <cell r="G60">
            <v>1153174.57</v>
          </cell>
          <cell r="H60">
            <v>1981388.43</v>
          </cell>
          <cell r="I60">
            <v>259875.7</v>
          </cell>
          <cell r="J60">
            <v>3674473.2499999995</v>
          </cell>
          <cell r="K60">
            <v>3050064.57</v>
          </cell>
          <cell r="L60">
            <v>72782.049999999988</v>
          </cell>
          <cell r="M60">
            <v>59374398.970000006</v>
          </cell>
          <cell r="N60">
            <v>62096163.069999993</v>
          </cell>
          <cell r="O60">
            <v>37420915.659999996</v>
          </cell>
          <cell r="P60">
            <v>171204365.94</v>
          </cell>
        </row>
        <row r="61">
          <cell r="B61">
            <v>2310</v>
          </cell>
          <cell r="C61" t="str">
            <v>Other Staff Allowances Account</v>
          </cell>
          <cell r="D61">
            <v>83680.75</v>
          </cell>
          <cell r="E61">
            <v>113129.03</v>
          </cell>
          <cell r="F61">
            <v>383070.48</v>
          </cell>
          <cell r="G61">
            <v>145484.23000000001</v>
          </cell>
          <cell r="H61">
            <v>229175.03</v>
          </cell>
          <cell r="I61">
            <v>77561.600000000006</v>
          </cell>
          <cell r="J61">
            <v>882923.66</v>
          </cell>
          <cell r="K61">
            <v>804072</v>
          </cell>
          <cell r="L61">
            <v>24373.11</v>
          </cell>
          <cell r="M61">
            <v>1719586.6600000001</v>
          </cell>
          <cell r="N61">
            <v>4546745.0999999996</v>
          </cell>
          <cell r="O61">
            <v>721755.3</v>
          </cell>
          <cell r="P61">
            <v>9731556.9500000011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0</v>
          </cell>
          <cell r="F64">
            <v>1966250.52</v>
          </cell>
          <cell r="G64">
            <v>0</v>
          </cell>
          <cell r="H64">
            <v>4240183.6400000006</v>
          </cell>
          <cell r="I64">
            <v>145877.56000000003</v>
          </cell>
          <cell r="J64">
            <v>3514207.0300000003</v>
          </cell>
          <cell r="K64">
            <v>18478204.969999999</v>
          </cell>
          <cell r="L64">
            <v>445753.46</v>
          </cell>
          <cell r="M64">
            <v>214827060.18100005</v>
          </cell>
          <cell r="N64">
            <v>145495024.03999999</v>
          </cell>
          <cell r="O64">
            <v>157560181.84999999</v>
          </cell>
          <cell r="P64">
            <v>546672743.25100005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0</v>
          </cell>
          <cell r="F67">
            <v>460292.11</v>
          </cell>
          <cell r="G67">
            <v>0</v>
          </cell>
          <cell r="H67">
            <v>1927597.27</v>
          </cell>
          <cell r="I67">
            <v>25590.449999999997</v>
          </cell>
          <cell r="J67">
            <v>1703965.03</v>
          </cell>
          <cell r="K67">
            <v>6952830.4200000009</v>
          </cell>
          <cell r="L67">
            <v>73567.570000000007</v>
          </cell>
          <cell r="M67">
            <v>75535023.679999992</v>
          </cell>
          <cell r="N67">
            <v>57660095.700000003</v>
          </cell>
          <cell r="O67">
            <v>38752731.100000001</v>
          </cell>
          <cell r="P67">
            <v>183091693.33000001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94587639.26000002</v>
          </cell>
          <cell r="N68">
            <v>29752858.540000003</v>
          </cell>
          <cell r="O68">
            <v>11258644.530000001</v>
          </cell>
          <cell r="P68">
            <v>135599142.33000004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-11955500.299999999</v>
          </cell>
          <cell r="K69">
            <v>-11102928.199999999</v>
          </cell>
          <cell r="L69">
            <v>0</v>
          </cell>
          <cell r="M69">
            <v>-104366513.67999999</v>
          </cell>
          <cell r="N69">
            <v>-54069683.43</v>
          </cell>
          <cell r="O69">
            <v>-58199194.019999996</v>
          </cell>
          <cell r="P69">
            <v>-239693819.63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57180.5</v>
          </cell>
          <cell r="E70">
            <v>234289.35000000003</v>
          </cell>
          <cell r="F70">
            <v>36077.25</v>
          </cell>
          <cell r="G70">
            <v>0</v>
          </cell>
          <cell r="H70">
            <v>0</v>
          </cell>
          <cell r="I70">
            <v>5044.45</v>
          </cell>
          <cell r="J70">
            <v>34571.399999999994</v>
          </cell>
          <cell r="K70">
            <v>109278.05</v>
          </cell>
          <cell r="L70">
            <v>0</v>
          </cell>
          <cell r="M70">
            <v>849445.54999999993</v>
          </cell>
          <cell r="N70">
            <v>1461164.3499999996</v>
          </cell>
          <cell r="O70">
            <v>542922.55000000005</v>
          </cell>
          <cell r="P70">
            <v>3329973.4499999993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13505.2</v>
          </cell>
          <cell r="E71">
            <v>13168.29</v>
          </cell>
          <cell r="F71">
            <v>29678.13</v>
          </cell>
          <cell r="G71">
            <v>23795.440000000002</v>
          </cell>
          <cell r="H71">
            <v>152225.96999999997</v>
          </cell>
          <cell r="I71">
            <v>6705.8700000000008</v>
          </cell>
          <cell r="J71">
            <v>326680.45</v>
          </cell>
          <cell r="K71">
            <v>310316.89999999997</v>
          </cell>
          <cell r="L71">
            <v>1648.85</v>
          </cell>
          <cell r="M71">
            <v>5614213.9600000009</v>
          </cell>
          <cell r="N71">
            <v>4803731.95</v>
          </cell>
          <cell r="O71">
            <v>11068585.120000001</v>
          </cell>
          <cell r="P71">
            <v>22364256.130000003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2638941</v>
          </cell>
          <cell r="P72">
            <v>2638941</v>
          </cell>
        </row>
        <row r="73">
          <cell r="B73">
            <v>2500</v>
          </cell>
          <cell r="C73" t="str">
            <v>Bonus Account</v>
          </cell>
          <cell r="D73">
            <v>2480</v>
          </cell>
          <cell r="E73">
            <v>113916.49</v>
          </cell>
          <cell r="F73">
            <v>38668</v>
          </cell>
          <cell r="G73">
            <v>30425</v>
          </cell>
          <cell r="H73">
            <v>7345</v>
          </cell>
          <cell r="I73">
            <v>11362</v>
          </cell>
          <cell r="J73">
            <v>45320.06</v>
          </cell>
          <cell r="K73">
            <v>15504</v>
          </cell>
          <cell r="L73">
            <v>5655</v>
          </cell>
          <cell r="M73">
            <v>3700</v>
          </cell>
          <cell r="N73">
            <v>528576.6</v>
          </cell>
          <cell r="O73">
            <v>465197.23</v>
          </cell>
          <cell r="P73">
            <v>1268149.3799999999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524968</v>
          </cell>
          <cell r="N74">
            <v>633350</v>
          </cell>
          <cell r="O74">
            <v>49900</v>
          </cell>
          <cell r="P74">
            <v>1208218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278547.91999999993</v>
          </cell>
          <cell r="N75">
            <v>2710902.5</v>
          </cell>
          <cell r="O75">
            <v>359749.99000000005</v>
          </cell>
          <cell r="P75">
            <v>3349200.41</v>
          </cell>
        </row>
        <row r="76">
          <cell r="B76">
            <v>2530</v>
          </cell>
          <cell r="C76" t="str">
            <v>Non Sick Leave Incentive Account</v>
          </cell>
          <cell r="D76">
            <v>2480</v>
          </cell>
          <cell r="E76">
            <v>152881.13</v>
          </cell>
          <cell r="F76">
            <v>642.49</v>
          </cell>
          <cell r="G76">
            <v>4850</v>
          </cell>
          <cell r="H76">
            <v>6395</v>
          </cell>
          <cell r="I76">
            <v>11362</v>
          </cell>
          <cell r="J76">
            <v>5511.42</v>
          </cell>
          <cell r="K76">
            <v>13769</v>
          </cell>
          <cell r="L76">
            <v>0</v>
          </cell>
          <cell r="M76">
            <v>0</v>
          </cell>
          <cell r="N76">
            <v>413376.28000000009</v>
          </cell>
          <cell r="O76">
            <v>129838.87999999999</v>
          </cell>
          <cell r="P76">
            <v>741106.20000000007</v>
          </cell>
        </row>
        <row r="77">
          <cell r="B77">
            <v>2540</v>
          </cell>
          <cell r="C77" t="str">
            <v>Allowances to Trainees Account</v>
          </cell>
          <cell r="D77">
            <v>0</v>
          </cell>
          <cell r="E77">
            <v>175225</v>
          </cell>
          <cell r="F77">
            <v>0</v>
          </cell>
          <cell r="G77">
            <v>26550</v>
          </cell>
          <cell r="H77">
            <v>0</v>
          </cell>
          <cell r="I77">
            <v>0</v>
          </cell>
          <cell r="J77">
            <v>23850</v>
          </cell>
          <cell r="K77">
            <v>0</v>
          </cell>
          <cell r="L77">
            <v>0</v>
          </cell>
          <cell r="M77">
            <v>6333113.4199999999</v>
          </cell>
          <cell r="N77">
            <v>2216917.02</v>
          </cell>
          <cell r="O77">
            <v>1410925</v>
          </cell>
          <cell r="P77">
            <v>10186580.439999999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222600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788460</v>
          </cell>
          <cell r="N78">
            <v>2164500</v>
          </cell>
          <cell r="O78">
            <v>0</v>
          </cell>
          <cell r="P78">
            <v>3175560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132000</v>
          </cell>
          <cell r="E79">
            <v>31500</v>
          </cell>
          <cell r="F79">
            <v>0</v>
          </cell>
          <cell r="G79">
            <v>66000</v>
          </cell>
          <cell r="H79">
            <v>0</v>
          </cell>
          <cell r="I79">
            <v>24000</v>
          </cell>
          <cell r="J79">
            <v>0</v>
          </cell>
          <cell r="K79">
            <v>0</v>
          </cell>
          <cell r="L79">
            <v>0</v>
          </cell>
          <cell r="M79">
            <v>227599.2</v>
          </cell>
          <cell r="N79">
            <v>13000</v>
          </cell>
          <cell r="O79">
            <v>0</v>
          </cell>
          <cell r="P79">
            <v>494099.20000000001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0</v>
          </cell>
          <cell r="E82">
            <v>0</v>
          </cell>
          <cell r="F82">
            <v>2740</v>
          </cell>
          <cell r="G82">
            <v>0</v>
          </cell>
          <cell r="H82">
            <v>10420</v>
          </cell>
          <cell r="I82">
            <v>6100</v>
          </cell>
          <cell r="J82">
            <v>7920</v>
          </cell>
          <cell r="K82">
            <v>0</v>
          </cell>
          <cell r="L82">
            <v>0</v>
          </cell>
          <cell r="M82">
            <v>91390</v>
          </cell>
          <cell r="N82">
            <v>94570</v>
          </cell>
          <cell r="O82">
            <v>133165</v>
          </cell>
          <cell r="P82">
            <v>346305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2240</v>
          </cell>
          <cell r="E84">
            <v>11000</v>
          </cell>
          <cell r="F84">
            <v>80215.709999999992</v>
          </cell>
          <cell r="G84">
            <v>16272</v>
          </cell>
          <cell r="H84">
            <v>3360</v>
          </cell>
          <cell r="I84">
            <v>17472</v>
          </cell>
          <cell r="J84">
            <v>7328</v>
          </cell>
          <cell r="K84">
            <v>41898.19</v>
          </cell>
          <cell r="L84">
            <v>0</v>
          </cell>
          <cell r="M84">
            <v>8800</v>
          </cell>
          <cell r="N84">
            <v>101599.05</v>
          </cell>
          <cell r="O84">
            <v>25984</v>
          </cell>
          <cell r="P84">
            <v>316168.95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  <cell r="F85">
            <v>720</v>
          </cell>
          <cell r="G85">
            <v>0</v>
          </cell>
          <cell r="H85">
            <v>0</v>
          </cell>
          <cell r="I85">
            <v>0</v>
          </cell>
          <cell r="J85">
            <v>100</v>
          </cell>
          <cell r="K85">
            <v>0</v>
          </cell>
          <cell r="L85">
            <v>0</v>
          </cell>
          <cell r="M85">
            <v>540</v>
          </cell>
          <cell r="N85">
            <v>14526.8</v>
          </cell>
          <cell r="O85">
            <v>289</v>
          </cell>
          <cell r="P85">
            <v>16175.8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1000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4500</v>
          </cell>
          <cell r="O86">
            <v>1940</v>
          </cell>
          <cell r="P86">
            <v>7440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730</v>
          </cell>
          <cell r="O87">
            <v>1100</v>
          </cell>
          <cell r="P87">
            <v>1830</v>
          </cell>
        </row>
        <row r="88">
          <cell r="B88">
            <v>2635</v>
          </cell>
          <cell r="C88" t="str">
            <v>Executive Officers Mobile Allowance Account</v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103228.04</v>
          </cell>
          <cell r="E89">
            <v>333000.01999999996</v>
          </cell>
          <cell r="F89">
            <v>222613.78</v>
          </cell>
          <cell r="G89">
            <v>378864.35000000003</v>
          </cell>
          <cell r="H89">
            <v>350816</v>
          </cell>
          <cell r="I89">
            <v>231212.82</v>
          </cell>
          <cell r="J89">
            <v>344602.87</v>
          </cell>
          <cell r="K89">
            <v>514794.85</v>
          </cell>
          <cell r="L89">
            <v>0</v>
          </cell>
          <cell r="M89">
            <v>10514425.655999999</v>
          </cell>
          <cell r="N89">
            <v>11315062.889999999</v>
          </cell>
          <cell r="O89">
            <v>5929336.6799999997</v>
          </cell>
          <cell r="P89">
            <v>30237957.956</v>
          </cell>
        </row>
        <row r="90">
          <cell r="B90">
            <v>2641</v>
          </cell>
          <cell r="C90" t="str">
            <v>Medical Expenses  - Out door Account</v>
          </cell>
          <cell r="D90">
            <v>80529.070000000007</v>
          </cell>
          <cell r="E90">
            <v>285904.53999999998</v>
          </cell>
          <cell r="F90">
            <v>298646.81</v>
          </cell>
          <cell r="G90">
            <v>204068.4</v>
          </cell>
          <cell r="H90">
            <v>226258.22999999998</v>
          </cell>
          <cell r="I90">
            <v>104772</v>
          </cell>
          <cell r="J90">
            <v>652558.32999999996</v>
          </cell>
          <cell r="K90">
            <v>646825.06999999995</v>
          </cell>
          <cell r="L90">
            <v>67581</v>
          </cell>
          <cell r="M90">
            <v>9994714.8000000007</v>
          </cell>
          <cell r="N90">
            <v>7372856.5</v>
          </cell>
          <cell r="O90">
            <v>5265300.2300000004</v>
          </cell>
          <cell r="P90">
            <v>25200014.98</v>
          </cell>
        </row>
        <row r="91">
          <cell r="B91">
            <v>2650</v>
          </cell>
          <cell r="C91" t="str">
            <v>Uniforms &amp; Protective Clothing Account</v>
          </cell>
          <cell r="D91">
            <v>28557.5</v>
          </cell>
          <cell r="E91">
            <v>8255</v>
          </cell>
          <cell r="F91">
            <v>12310</v>
          </cell>
          <cell r="G91">
            <v>10810</v>
          </cell>
          <cell r="H91">
            <v>15825.05</v>
          </cell>
          <cell r="I91">
            <v>0</v>
          </cell>
          <cell r="J91">
            <v>0</v>
          </cell>
          <cell r="K91">
            <v>0</v>
          </cell>
          <cell r="L91">
            <v>1680</v>
          </cell>
          <cell r="M91">
            <v>2402939.7000000002</v>
          </cell>
          <cell r="N91">
            <v>2110704.1</v>
          </cell>
          <cell r="O91">
            <v>1513980.1400000001</v>
          </cell>
          <cell r="P91">
            <v>6105061.4900000002</v>
          </cell>
        </row>
        <row r="92">
          <cell r="B92">
            <v>2660</v>
          </cell>
          <cell r="C92" t="str">
            <v>Reimbursement of loan Interest Account</v>
          </cell>
          <cell r="D92">
            <v>700100.60000000009</v>
          </cell>
          <cell r="E92">
            <v>1475956.35</v>
          </cell>
          <cell r="F92">
            <v>1363803.2699999998</v>
          </cell>
          <cell r="G92">
            <v>1118402.95</v>
          </cell>
          <cell r="H92">
            <v>1618393.1900000002</v>
          </cell>
          <cell r="I92">
            <v>516046.11999999994</v>
          </cell>
          <cell r="J92">
            <v>2555308.29</v>
          </cell>
          <cell r="K92">
            <v>1805320.74</v>
          </cell>
          <cell r="L92">
            <v>95978.53</v>
          </cell>
          <cell r="M92">
            <v>53342885.289999999</v>
          </cell>
          <cell r="N92">
            <v>46959192.830000006</v>
          </cell>
          <cell r="O92">
            <v>24320016.940000001</v>
          </cell>
          <cell r="P92">
            <v>135871405.09999999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4061192.85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12917568.490000002</v>
          </cell>
          <cell r="N93">
            <v>9603299.8399999999</v>
          </cell>
          <cell r="O93">
            <v>3247038.5300000003</v>
          </cell>
          <cell r="P93">
            <v>29829099.710000005</v>
          </cell>
        </row>
        <row r="94">
          <cell r="B94">
            <v>2680</v>
          </cell>
          <cell r="C94" t="str">
            <v>CEB Pension Fund Account</v>
          </cell>
          <cell r="D94">
            <v>288228.19999999995</v>
          </cell>
          <cell r="E94">
            <v>639226.52</v>
          </cell>
          <cell r="F94">
            <v>1068352.3500000001</v>
          </cell>
          <cell r="G94">
            <v>592071.04</v>
          </cell>
          <cell r="H94">
            <v>749538.6100000001</v>
          </cell>
          <cell r="I94">
            <v>353693.71</v>
          </cell>
          <cell r="J94">
            <v>2391272.81</v>
          </cell>
          <cell r="K94">
            <v>2427368.15</v>
          </cell>
          <cell r="L94">
            <v>71830.87</v>
          </cell>
          <cell r="M94">
            <v>29593194.669999994</v>
          </cell>
          <cell r="N94">
            <v>24121147.060000002</v>
          </cell>
          <cell r="O94">
            <v>19252615.619999997</v>
          </cell>
          <cell r="P94">
            <v>81548539.609999985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108085.56999999999</v>
          </cell>
          <cell r="E96">
            <v>239709.89</v>
          </cell>
          <cell r="F96">
            <v>400632.12</v>
          </cell>
          <cell r="G96">
            <v>222026.62</v>
          </cell>
          <cell r="H96">
            <v>281076.96999999997</v>
          </cell>
          <cell r="I96">
            <v>132635.15000000002</v>
          </cell>
          <cell r="J96">
            <v>896727.54</v>
          </cell>
          <cell r="K96">
            <v>910263.23</v>
          </cell>
          <cell r="L96">
            <v>16350.87</v>
          </cell>
          <cell r="M96">
            <v>11168579.700000003</v>
          </cell>
          <cell r="N96">
            <v>9052578.4900000002</v>
          </cell>
          <cell r="O96">
            <v>7249968.6400000006</v>
          </cell>
          <cell r="P96">
            <v>30678634.790000007</v>
          </cell>
        </row>
        <row r="97">
          <cell r="B97">
            <v>2710</v>
          </cell>
          <cell r="C97" t="str">
            <v>CEB Provident Fund Account</v>
          </cell>
          <cell r="D97">
            <v>540427.85</v>
          </cell>
          <cell r="E97">
            <v>1248549.52</v>
          </cell>
          <cell r="F97">
            <v>2003160.67</v>
          </cell>
          <cell r="G97">
            <v>1110133.1800000002</v>
          </cell>
          <cell r="H97">
            <v>1405384.8800000001</v>
          </cell>
          <cell r="I97">
            <v>663175.73</v>
          </cell>
          <cell r="J97">
            <v>4483636.93</v>
          </cell>
          <cell r="K97">
            <v>4551315.55</v>
          </cell>
          <cell r="L97">
            <v>145268.60999999999</v>
          </cell>
          <cell r="M97">
            <v>55765379.189999983</v>
          </cell>
          <cell r="N97">
            <v>45255500.939999998</v>
          </cell>
          <cell r="O97">
            <v>36205456.240000002</v>
          </cell>
          <cell r="P97">
            <v>153377389.28999999</v>
          </cell>
        </row>
        <row r="98">
          <cell r="B98">
            <v>0</v>
          </cell>
          <cell r="C98" t="str">
            <v>personel cost on pension fund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>
            <v>0</v>
          </cell>
        </row>
        <row r="99">
          <cell r="B99">
            <v>0</v>
          </cell>
          <cell r="C99" t="str">
            <v>PERSONNEL EXPENSES - SUB TOTAL</v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>
            <v>1964606367.858</v>
          </cell>
        </row>
        <row r="100">
          <cell r="B100">
            <v>0</v>
          </cell>
          <cell r="C100" t="str">
            <v xml:space="preserve"> MATERIAL COST</v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>
            <v>0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5817230199.1800003</v>
          </cell>
          <cell r="N104">
            <v>12802663441.82</v>
          </cell>
          <cell r="O104">
            <v>3452375163.2800002</v>
          </cell>
          <cell r="P104">
            <v>22072268804.279999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-30500.15</v>
          </cell>
          <cell r="L110">
            <v>0</v>
          </cell>
          <cell r="M110">
            <v>302615072.62941998</v>
          </cell>
          <cell r="N110">
            <v>140276151.27000001</v>
          </cell>
          <cell r="O110">
            <v>53369411.839999996</v>
          </cell>
          <cell r="P110">
            <v>496230135.58942002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140</v>
          </cell>
          <cell r="N114">
            <v>30199808.710000001</v>
          </cell>
          <cell r="O114">
            <v>0</v>
          </cell>
          <cell r="P114">
            <v>30199948.710000001</v>
          </cell>
        </row>
        <row r="115">
          <cell r="B115">
            <v>3212</v>
          </cell>
          <cell r="C115" t="str">
            <v>Expenses incurred on the maintenance and hiring of Tug Boats and Barges in coal transport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-21580</v>
          </cell>
          <cell r="F118">
            <v>0</v>
          </cell>
          <cell r="G118">
            <v>0</v>
          </cell>
          <cell r="H118">
            <v>484088.64</v>
          </cell>
          <cell r="I118">
            <v>0</v>
          </cell>
          <cell r="J118">
            <v>41572</v>
          </cell>
          <cell r="K118">
            <v>0</v>
          </cell>
          <cell r="L118">
            <v>0</v>
          </cell>
          <cell r="M118">
            <v>10425</v>
          </cell>
          <cell r="N118">
            <v>0</v>
          </cell>
          <cell r="O118">
            <v>27328</v>
          </cell>
          <cell r="P118">
            <v>541833.64</v>
          </cell>
        </row>
        <row r="119">
          <cell r="B119">
            <v>3300</v>
          </cell>
          <cell r="C119" t="str">
            <v>Loose Tools Account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9607.5</v>
          </cell>
          <cell r="I119">
            <v>0</v>
          </cell>
          <cell r="J119">
            <v>322293.3</v>
          </cell>
          <cell r="K119">
            <v>0</v>
          </cell>
          <cell r="L119">
            <v>0</v>
          </cell>
          <cell r="M119">
            <v>17091809.769999996</v>
          </cell>
          <cell r="N119">
            <v>6230339.6699999999</v>
          </cell>
          <cell r="O119">
            <v>6687038</v>
          </cell>
          <cell r="P119">
            <v>30341088.239999995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0</v>
          </cell>
          <cell r="E122">
            <v>0</v>
          </cell>
          <cell r="F122">
            <v>3710125.98</v>
          </cell>
          <cell r="G122">
            <v>0</v>
          </cell>
          <cell r="H122">
            <v>19403372.18</v>
          </cell>
          <cell r="I122">
            <v>0</v>
          </cell>
          <cell r="J122">
            <v>0</v>
          </cell>
          <cell r="K122">
            <v>0</v>
          </cell>
          <cell r="L122">
            <v>39767.300000000003</v>
          </cell>
          <cell r="M122">
            <v>0</v>
          </cell>
          <cell r="N122">
            <v>9087572.3399999999</v>
          </cell>
          <cell r="O122">
            <v>1161127.8</v>
          </cell>
          <cell r="P122">
            <v>33401965.600000001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B125">
            <v>0</v>
          </cell>
          <cell r="C125" t="str">
            <v>MATERIAL COST - SUB TOTAL</v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>
            <v>22662983776.059418</v>
          </cell>
        </row>
        <row r="126">
          <cell r="B126">
            <v>0</v>
          </cell>
          <cell r="C126" t="str">
            <v>ACCOMMODATION EXPENSES</v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>
            <v>0</v>
          </cell>
        </row>
        <row r="127">
          <cell r="B127">
            <v>4100</v>
          </cell>
          <cell r="C127" t="str">
            <v>Housing Rent and Rates Account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120320.25</v>
          </cell>
          <cell r="I127">
            <v>172500</v>
          </cell>
          <cell r="J127">
            <v>90885</v>
          </cell>
          <cell r="K127">
            <v>765460</v>
          </cell>
          <cell r="L127">
            <v>0</v>
          </cell>
          <cell r="M127">
            <v>8996982.0800000001</v>
          </cell>
          <cell r="N127">
            <v>5033162.0500000007</v>
          </cell>
          <cell r="O127">
            <v>2569642.94</v>
          </cell>
          <cell r="P127">
            <v>17748952.32</v>
          </cell>
        </row>
        <row r="128">
          <cell r="B128">
            <v>4110</v>
          </cell>
          <cell r="C128" t="str">
            <v>Building Maintenance Account</v>
          </cell>
          <cell r="D128">
            <v>226427.5</v>
          </cell>
          <cell r="E128">
            <v>11680</v>
          </cell>
          <cell r="F128">
            <v>882668.36</v>
          </cell>
          <cell r="G128">
            <v>6374.0599999999995</v>
          </cell>
          <cell r="H128">
            <v>972728.45</v>
          </cell>
          <cell r="I128">
            <v>680185.7</v>
          </cell>
          <cell r="J128">
            <v>32984</v>
          </cell>
          <cell r="K128">
            <v>74108.5</v>
          </cell>
          <cell r="L128">
            <v>330847.78000000003</v>
          </cell>
          <cell r="M128">
            <v>22257199.16</v>
          </cell>
          <cell r="N128">
            <v>12837881.310000002</v>
          </cell>
          <cell r="O128">
            <v>4630454.4099999992</v>
          </cell>
          <cell r="P128">
            <v>42943539.230000004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728720.66999999993</v>
          </cell>
          <cell r="N129">
            <v>0</v>
          </cell>
          <cell r="O129">
            <v>581893.41</v>
          </cell>
          <cell r="P129">
            <v>1310614.08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36960</v>
          </cell>
          <cell r="E130">
            <v>197441.48</v>
          </cell>
          <cell r="F130">
            <v>14336</v>
          </cell>
          <cell r="G130">
            <v>10864</v>
          </cell>
          <cell r="H130">
            <v>161997.5</v>
          </cell>
          <cell r="I130">
            <v>0</v>
          </cell>
          <cell r="J130">
            <v>727886.5</v>
          </cell>
          <cell r="K130">
            <v>453551.64</v>
          </cell>
          <cell r="L130">
            <v>5082.5</v>
          </cell>
          <cell r="M130">
            <v>7641489.7999999998</v>
          </cell>
          <cell r="N130">
            <v>1661617.66</v>
          </cell>
          <cell r="O130">
            <v>2137838.02</v>
          </cell>
          <cell r="P130">
            <v>13049065.1</v>
          </cell>
        </row>
        <row r="131">
          <cell r="B131">
            <v>4300</v>
          </cell>
          <cell r="C131" t="str">
            <v>Electricity  Consumption Account</v>
          </cell>
          <cell r="D131">
            <v>0</v>
          </cell>
          <cell r="E131">
            <v>0</v>
          </cell>
          <cell r="F131">
            <v>149420.65</v>
          </cell>
          <cell r="G131">
            <v>0</v>
          </cell>
          <cell r="H131">
            <v>607888.77</v>
          </cell>
          <cell r="I131">
            <v>96803.15</v>
          </cell>
          <cell r="J131">
            <v>36945.670000000006</v>
          </cell>
          <cell r="K131">
            <v>186219.25</v>
          </cell>
          <cell r="L131">
            <v>313040.8</v>
          </cell>
          <cell r="M131">
            <v>10898352.629999997</v>
          </cell>
          <cell r="N131">
            <v>6927254.0300000003</v>
          </cell>
          <cell r="O131">
            <v>2977349.1900000004</v>
          </cell>
          <cell r="P131">
            <v>22193274.140000001</v>
          </cell>
        </row>
        <row r="132">
          <cell r="B132">
            <v>4400</v>
          </cell>
          <cell r="C132" t="str">
            <v>Water Supply Charges Account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43037.099999999991</v>
          </cell>
          <cell r="J132">
            <v>52274.540000000008</v>
          </cell>
          <cell r="K132">
            <v>45528</v>
          </cell>
          <cell r="L132">
            <v>0</v>
          </cell>
          <cell r="M132">
            <v>2476776.61</v>
          </cell>
          <cell r="N132">
            <v>2042183.4099999997</v>
          </cell>
          <cell r="O132">
            <v>1398673.3900000001</v>
          </cell>
          <cell r="P132">
            <v>6058473.0500000007</v>
          </cell>
        </row>
        <row r="133">
          <cell r="B133">
            <v>0</v>
          </cell>
          <cell r="C133" t="str">
            <v>ACCOMMODATION EXPENSES - SUB TOTAL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>
            <v>103303917.92</v>
          </cell>
        </row>
        <row r="134">
          <cell r="B134">
            <v>0</v>
          </cell>
          <cell r="C134" t="str">
            <v>TRANSPORT &amp; COMMUNICATION EXPENSES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>
            <v>0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7262</v>
          </cell>
          <cell r="E135">
            <v>7874.25</v>
          </cell>
          <cell r="F135">
            <v>90273.25</v>
          </cell>
          <cell r="G135">
            <v>26091.25</v>
          </cell>
          <cell r="H135">
            <v>497183.25</v>
          </cell>
          <cell r="I135">
            <v>36887.25</v>
          </cell>
          <cell r="J135">
            <v>3629810.3200000003</v>
          </cell>
          <cell r="K135">
            <v>3592385.25</v>
          </cell>
          <cell r="L135">
            <v>179890.25</v>
          </cell>
          <cell r="M135">
            <v>14519416.590000004</v>
          </cell>
          <cell r="N135">
            <v>10859287.810000001</v>
          </cell>
          <cell r="O135">
            <v>9661118.4299999997</v>
          </cell>
          <cell r="P135">
            <v>43107479.900000006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44041.13</v>
          </cell>
          <cell r="E137">
            <v>98094.260000000009</v>
          </cell>
          <cell r="F137">
            <v>817833.16</v>
          </cell>
          <cell r="G137">
            <v>1189108.7</v>
          </cell>
          <cell r="H137">
            <v>527643.1399999999</v>
          </cell>
          <cell r="I137">
            <v>351175</v>
          </cell>
          <cell r="J137">
            <v>1170017.9099999999</v>
          </cell>
          <cell r="K137">
            <v>1949631.08</v>
          </cell>
          <cell r="L137">
            <v>343174.32</v>
          </cell>
          <cell r="M137">
            <v>24452412.470000003</v>
          </cell>
          <cell r="N137">
            <v>13384166.539999999</v>
          </cell>
          <cell r="O137">
            <v>13564135.57</v>
          </cell>
          <cell r="P137">
            <v>57891433.280000001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380148.6</v>
          </cell>
          <cell r="E138">
            <v>354048.97</v>
          </cell>
          <cell r="F138">
            <v>1515127.06</v>
          </cell>
          <cell r="G138">
            <v>471907.51</v>
          </cell>
          <cell r="H138">
            <v>675369.67999999993</v>
          </cell>
          <cell r="I138">
            <v>673940.62</v>
          </cell>
          <cell r="J138">
            <v>1623482.9500000002</v>
          </cell>
          <cell r="K138">
            <v>2764836.15</v>
          </cell>
          <cell r="L138">
            <v>202978.65</v>
          </cell>
          <cell r="M138">
            <v>35893756.56000001</v>
          </cell>
          <cell r="N138">
            <v>17094630.949999999</v>
          </cell>
          <cell r="O138">
            <v>22436058.050000001</v>
          </cell>
          <cell r="P138">
            <v>84086285.75</v>
          </cell>
        </row>
        <row r="139">
          <cell r="B139">
            <v>5220</v>
          </cell>
          <cell r="C139" t="str">
            <v>Vehicle Hire Charges Account</v>
          </cell>
          <cell r="D139">
            <v>0</v>
          </cell>
          <cell r="E139">
            <v>0</v>
          </cell>
          <cell r="F139">
            <v>922500</v>
          </cell>
          <cell r="G139">
            <v>310100</v>
          </cell>
          <cell r="H139">
            <v>657305.74</v>
          </cell>
          <cell r="I139">
            <v>165000</v>
          </cell>
          <cell r="J139">
            <v>3878710.37</v>
          </cell>
          <cell r="K139">
            <v>4082656.49</v>
          </cell>
          <cell r="L139">
            <v>98000</v>
          </cell>
          <cell r="M139">
            <v>56770407.480000004</v>
          </cell>
          <cell r="N139">
            <v>57587489.199999996</v>
          </cell>
          <cell r="O139">
            <v>20731986.859999999</v>
          </cell>
          <cell r="P139">
            <v>145204156.13999999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573666.54</v>
          </cell>
          <cell r="N140">
            <v>1694635.04</v>
          </cell>
          <cell r="O140">
            <v>407136</v>
          </cell>
          <cell r="P140">
            <v>2675437.58</v>
          </cell>
        </row>
        <row r="141">
          <cell r="B141">
            <v>5300</v>
          </cell>
          <cell r="C141" t="str">
            <v>Office Supplies Account</v>
          </cell>
          <cell r="D141">
            <v>69177.17</v>
          </cell>
          <cell r="E141">
            <v>448070.18000000005</v>
          </cell>
          <cell r="F141">
            <v>502479.64</v>
          </cell>
          <cell r="G141">
            <v>364695.38</v>
          </cell>
          <cell r="H141">
            <v>225820</v>
          </cell>
          <cell r="I141">
            <v>98744.11</v>
          </cell>
          <cell r="J141">
            <v>242620.77000000002</v>
          </cell>
          <cell r="K141">
            <v>330731.56</v>
          </cell>
          <cell r="L141">
            <v>25157</v>
          </cell>
          <cell r="M141">
            <v>13737939.180000002</v>
          </cell>
          <cell r="N141">
            <v>12034255.760000002</v>
          </cell>
          <cell r="O141">
            <v>6087905.2599999998</v>
          </cell>
          <cell r="P141">
            <v>34167596.010000005</v>
          </cell>
        </row>
        <row r="142">
          <cell r="B142">
            <v>5310</v>
          </cell>
          <cell r="C142" t="str">
            <v>Postage Account</v>
          </cell>
          <cell r="D142">
            <v>0</v>
          </cell>
          <cell r="E142">
            <v>17955</v>
          </cell>
          <cell r="F142">
            <v>27860</v>
          </cell>
          <cell r="G142">
            <v>28570</v>
          </cell>
          <cell r="H142">
            <v>19340</v>
          </cell>
          <cell r="I142">
            <v>2975</v>
          </cell>
          <cell r="J142">
            <v>14485</v>
          </cell>
          <cell r="K142">
            <v>22292</v>
          </cell>
          <cell r="L142">
            <v>135</v>
          </cell>
          <cell r="M142">
            <v>823613.33000000007</v>
          </cell>
          <cell r="N142">
            <v>474661</v>
          </cell>
          <cell r="O142">
            <v>593461.44999999995</v>
          </cell>
          <cell r="P142">
            <v>2025347.78</v>
          </cell>
        </row>
        <row r="143">
          <cell r="B143">
            <v>5320</v>
          </cell>
          <cell r="C143" t="str">
            <v>Telecommunications Account</v>
          </cell>
          <cell r="D143">
            <v>72761.290000000008</v>
          </cell>
          <cell r="E143">
            <v>134096.25</v>
          </cell>
          <cell r="F143">
            <v>257427.71</v>
          </cell>
          <cell r="G143">
            <v>1171639.67</v>
          </cell>
          <cell r="H143">
            <v>53798.21</v>
          </cell>
          <cell r="I143">
            <v>107826.58999999998</v>
          </cell>
          <cell r="J143">
            <v>90101.63</v>
          </cell>
          <cell r="K143">
            <v>225647.12</v>
          </cell>
          <cell r="L143">
            <v>46970.18</v>
          </cell>
          <cell r="M143">
            <v>6162499.0400000019</v>
          </cell>
          <cell r="N143">
            <v>5818526.8899999997</v>
          </cell>
          <cell r="O143">
            <v>2256559.3199999998</v>
          </cell>
          <cell r="P143">
            <v>16397853.900000002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351171.07999999996</v>
          </cell>
          <cell r="E144">
            <v>623179.71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241926.05</v>
          </cell>
          <cell r="O144">
            <v>0</v>
          </cell>
          <cell r="P144">
            <v>1216276.8399999999</v>
          </cell>
        </row>
        <row r="145">
          <cell r="B145">
            <v>5322</v>
          </cell>
          <cell r="C145" t="str">
            <v>Expenses on data communication links (VPNs, Leased Lines etc)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>
            <v>0</v>
          </cell>
        </row>
        <row r="146">
          <cell r="B146">
            <v>5323</v>
          </cell>
          <cell r="C146" t="str">
            <v>Expenses on purchase / renewal of software licenses (such as e-mail, Citrix, informix, Uniface user accounts etc.)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>
            <v>0</v>
          </cell>
        </row>
        <row r="147">
          <cell r="B147">
            <v>5324</v>
          </cell>
          <cell r="C147" t="str">
            <v>Expenses on maintenance of Information Technology (IT) related hardware (such as watch guard router, billing srvers, computers, printers, UPS, call center equipments etc.)</v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>
            <v>0</v>
          </cell>
        </row>
        <row r="148">
          <cell r="B148">
            <v>0</v>
          </cell>
          <cell r="C148" t="str">
            <v>TRANSPORT &amp; COMMUNICATION EXP. - SUB TOTAL</v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>
            <v>386771867.17999989</v>
          </cell>
        </row>
        <row r="149">
          <cell r="B149">
            <v>0</v>
          </cell>
          <cell r="C149" t="str">
            <v xml:space="preserve"> DEPRECIATION</v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>
            <v>0</v>
          </cell>
        </row>
        <row r="150">
          <cell r="B150">
            <v>6000</v>
          </cell>
          <cell r="C150" t="str">
            <v>Depreciation Account</v>
          </cell>
          <cell r="D150">
            <v>1422448198.01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1422448198.01</v>
          </cell>
        </row>
        <row r="151">
          <cell r="B151">
            <v>0</v>
          </cell>
          <cell r="C151" t="str">
            <v>DEPRECIATION - SUB TOTAL</v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>
            <v>1422448198.01</v>
          </cell>
        </row>
        <row r="152">
          <cell r="B152">
            <v>0</v>
          </cell>
          <cell r="C152" t="str">
            <v xml:space="preserve"> OTHER EXPENSES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>
            <v>0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2094130.17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49050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2143180.17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360360.01999999996</v>
          </cell>
          <cell r="I154">
            <v>0</v>
          </cell>
          <cell r="J154">
            <v>751156.62</v>
          </cell>
          <cell r="K154">
            <v>123017.14</v>
          </cell>
          <cell r="L154">
            <v>1675800</v>
          </cell>
          <cell r="M154">
            <v>20608395.809999999</v>
          </cell>
          <cell r="N154">
            <v>15984692.879999999</v>
          </cell>
          <cell r="O154">
            <v>13818324.66</v>
          </cell>
          <cell r="P154">
            <v>53321747.129999995</v>
          </cell>
        </row>
        <row r="155">
          <cell r="B155">
            <v>7211</v>
          </cell>
          <cell r="C155" t="str">
            <v>Payment to Manpower Agencies Account</v>
          </cell>
          <cell r="D155">
            <v>0</v>
          </cell>
          <cell r="E155">
            <v>760306.98999999987</v>
          </cell>
          <cell r="F155">
            <v>1300659.8099999996</v>
          </cell>
          <cell r="G155">
            <v>5428613.7599999998</v>
          </cell>
          <cell r="H155">
            <v>921029.87999999989</v>
          </cell>
          <cell r="I155">
            <v>170104.09</v>
          </cell>
          <cell r="J155">
            <v>1175289.53</v>
          </cell>
          <cell r="K155">
            <v>2122961.1399999997</v>
          </cell>
          <cell r="L155">
            <v>0</v>
          </cell>
          <cell r="M155">
            <v>78055278.312999994</v>
          </cell>
          <cell r="N155">
            <v>66308839.469999999</v>
          </cell>
          <cell r="O155">
            <v>15254872.379999999</v>
          </cell>
          <cell r="P155">
            <v>171497955.36299998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55036.800000000003</v>
          </cell>
          <cell r="N156">
            <v>0</v>
          </cell>
          <cell r="O156">
            <v>0</v>
          </cell>
          <cell r="P156">
            <v>55036.800000000003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11000</v>
          </cell>
          <cell r="N160">
            <v>22500</v>
          </cell>
          <cell r="O160">
            <v>3785</v>
          </cell>
          <cell r="P160">
            <v>37285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512900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512900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  <cell r="F165">
            <v>0</v>
          </cell>
          <cell r="G165">
            <v>244845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15520</v>
          </cell>
          <cell r="O165">
            <v>37880</v>
          </cell>
          <cell r="P165">
            <v>298245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  <cell r="F166">
            <v>903143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651250</v>
          </cell>
          <cell r="N166">
            <v>117750</v>
          </cell>
          <cell r="O166">
            <v>0</v>
          </cell>
          <cell r="P166">
            <v>1672143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0</v>
          </cell>
          <cell r="E168">
            <v>4680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20571.43</v>
          </cell>
          <cell r="N168">
            <v>10540</v>
          </cell>
          <cell r="O168">
            <v>0</v>
          </cell>
          <cell r="P168">
            <v>35791.43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269675.2</v>
          </cell>
          <cell r="N169">
            <v>1327961.29</v>
          </cell>
          <cell r="O169">
            <v>253205.53999999998</v>
          </cell>
          <cell r="P169">
            <v>1850842.03</v>
          </cell>
        </row>
        <row r="170">
          <cell r="B170">
            <v>7510</v>
          </cell>
          <cell r="C170" t="str">
            <v>Entertainment Account</v>
          </cell>
          <cell r="D170">
            <v>97418.400000000009</v>
          </cell>
          <cell r="E170">
            <v>10577</v>
          </cell>
          <cell r="F170">
            <v>29996.75</v>
          </cell>
          <cell r="G170">
            <v>52051.9</v>
          </cell>
          <cell r="H170">
            <v>6841.5</v>
          </cell>
          <cell r="I170">
            <v>1875</v>
          </cell>
          <cell r="J170">
            <v>26670</v>
          </cell>
          <cell r="K170">
            <v>9609</v>
          </cell>
          <cell r="L170">
            <v>0</v>
          </cell>
          <cell r="M170">
            <v>514457.88</v>
          </cell>
          <cell r="N170">
            <v>320936.05</v>
          </cell>
          <cell r="O170">
            <v>377280.38999999996</v>
          </cell>
          <cell r="P170">
            <v>1447713.8699999999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  <cell r="F171">
            <v>12000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12000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196978.32</v>
          </cell>
          <cell r="I172">
            <v>0</v>
          </cell>
          <cell r="J172">
            <v>190400</v>
          </cell>
          <cell r="K172">
            <v>124350</v>
          </cell>
          <cell r="L172">
            <v>0</v>
          </cell>
          <cell r="M172">
            <v>4051956.6799999997</v>
          </cell>
          <cell r="N172">
            <v>1402601</v>
          </cell>
          <cell r="O172">
            <v>1140581.1400000001</v>
          </cell>
          <cell r="P172">
            <v>7106867.1400000006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458416.33999999997</v>
          </cell>
          <cell r="N173">
            <v>203236.11000000002</v>
          </cell>
          <cell r="O173">
            <v>0</v>
          </cell>
          <cell r="P173">
            <v>661652.44999999995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375000</v>
          </cell>
          <cell r="O176">
            <v>837500</v>
          </cell>
          <cell r="P176">
            <v>1212500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5664525.7699999996</v>
          </cell>
          <cell r="N180">
            <v>7609745.7300000004</v>
          </cell>
          <cell r="O180">
            <v>10998253.43</v>
          </cell>
          <cell r="P180">
            <v>24272524.93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907839.42</v>
          </cell>
          <cell r="P181">
            <v>907839.42</v>
          </cell>
        </row>
        <row r="182">
          <cell r="B182">
            <v>7800</v>
          </cell>
          <cell r="C182" t="str">
            <v>Miscellaneous Expense Account</v>
          </cell>
          <cell r="D182">
            <v>36911.219999999979</v>
          </cell>
          <cell r="E182">
            <v>30214</v>
          </cell>
          <cell r="F182">
            <v>188470</v>
          </cell>
          <cell r="G182">
            <v>17090</v>
          </cell>
          <cell r="H182">
            <v>238329.18</v>
          </cell>
          <cell r="I182">
            <v>809</v>
          </cell>
          <cell r="J182">
            <v>2013915.9599999997</v>
          </cell>
          <cell r="K182">
            <v>240700.84999999998</v>
          </cell>
          <cell r="L182">
            <v>39029.910000000003</v>
          </cell>
          <cell r="M182">
            <v>4173667.6800000006</v>
          </cell>
          <cell r="N182">
            <v>1069986.55</v>
          </cell>
          <cell r="O182">
            <v>336530</v>
          </cell>
          <cell r="P182">
            <v>8385654.3500000006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250000</v>
          </cell>
          <cell r="N183">
            <v>75966.69</v>
          </cell>
          <cell r="O183">
            <v>0</v>
          </cell>
          <cell r="P183">
            <v>325966.69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0</v>
          </cell>
          <cell r="E184">
            <v>0</v>
          </cell>
          <cell r="F184">
            <v>185936.24</v>
          </cell>
          <cell r="G184">
            <v>0</v>
          </cell>
          <cell r="H184">
            <v>183525.89</v>
          </cell>
          <cell r="I184">
            <v>0</v>
          </cell>
          <cell r="J184">
            <v>3400</v>
          </cell>
          <cell r="K184">
            <v>88923.58</v>
          </cell>
          <cell r="L184">
            <v>0</v>
          </cell>
          <cell r="M184">
            <v>9707.0000000000146</v>
          </cell>
          <cell r="N184">
            <v>911009.40999999992</v>
          </cell>
          <cell r="O184">
            <v>758617.13</v>
          </cell>
          <cell r="P184">
            <v>2141119.25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13748933.850000003</v>
          </cell>
          <cell r="N185">
            <v>15114321.959999999</v>
          </cell>
          <cell r="O185">
            <v>5140620.3499999996</v>
          </cell>
          <cell r="P185">
            <v>34003876.160000004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1838754.05</v>
          </cell>
          <cell r="O186">
            <v>0</v>
          </cell>
          <cell r="P186">
            <v>1838754.05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</row>
        <row r="191">
          <cell r="B191">
            <v>7854</v>
          </cell>
          <cell r="C191" t="str">
            <v xml:space="preserve">Payment to resource persons and expenses related to refreshment,stationary etc </v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</row>
        <row r="192">
          <cell r="B192">
            <v>0</v>
          </cell>
          <cell r="C192" t="str">
            <v>OTHER EXPENSES - SUB TOTAL</v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313741594.23300004</v>
          </cell>
        </row>
        <row r="193">
          <cell r="B193">
            <v>0</v>
          </cell>
          <cell r="C193" t="str">
            <v>FINANCE COST</v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18231.43</v>
          </cell>
          <cell r="N196">
            <v>23265.5</v>
          </cell>
          <cell r="O196">
            <v>276.5</v>
          </cell>
          <cell r="P196">
            <v>41773.43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8565912.9000000004</v>
          </cell>
          <cell r="N200">
            <v>4219208.53</v>
          </cell>
          <cell r="O200">
            <v>5452297.4699999997</v>
          </cell>
          <cell r="P200">
            <v>18237418.899999999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229.5</v>
          </cell>
          <cell r="N202">
            <v>0</v>
          </cell>
          <cell r="O202">
            <v>0</v>
          </cell>
          <cell r="P202">
            <v>229.5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313850</v>
          </cell>
          <cell r="O203">
            <v>28750</v>
          </cell>
          <cell r="P203">
            <v>342600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B207">
            <v>9200</v>
          </cell>
          <cell r="C207" t="str">
            <v>CON. FUND TAX</v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</row>
        <row r="208">
          <cell r="B208">
            <v>9300</v>
          </cell>
          <cell r="C208" t="str">
            <v>Deferred tax expense/( income )</v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</row>
      </sheetData>
      <sheetData sheetId="23">
        <row r="9">
          <cell r="B9">
            <v>1100</v>
          </cell>
          <cell r="C9" t="str">
            <v>Energy Sales - generation to Transmission</v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0</v>
          </cell>
          <cell r="F11">
            <v>951167292.83000004</v>
          </cell>
          <cell r="G11">
            <v>5768489580.4799995</v>
          </cell>
          <cell r="H11">
            <v>1509114351.8199999</v>
          </cell>
          <cell r="I11">
            <v>8228771225.1299992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0</v>
          </cell>
          <cell r="F13">
            <v>1374140016.5799999</v>
          </cell>
          <cell r="G13">
            <v>3416656374.29</v>
          </cell>
          <cell r="H13">
            <v>1869674506.4100001</v>
          </cell>
          <cell r="I13">
            <v>6660470897.2799997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0</v>
          </cell>
          <cell r="F14">
            <v>225473250</v>
          </cell>
          <cell r="G14">
            <v>356137455</v>
          </cell>
          <cell r="H14">
            <v>267971430</v>
          </cell>
          <cell r="I14">
            <v>849582135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  <cell r="F15">
            <v>457643829.81999999</v>
          </cell>
          <cell r="G15">
            <v>1475963499.55</v>
          </cell>
          <cell r="H15">
            <v>581628706.04999995</v>
          </cell>
          <cell r="I15">
            <v>2515236035.4200001</v>
          </cell>
        </row>
        <row r="16">
          <cell r="B16">
            <v>0</v>
          </cell>
          <cell r="C16" t="str">
            <v>SUB TOTAL OF TURNOVER</v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>
            <v>18254060292.830002</v>
          </cell>
        </row>
        <row r="17">
          <cell r="B17">
            <v>0</v>
          </cell>
          <cell r="C17" t="str">
            <v xml:space="preserve"> INTEREST INCOME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>
            <v>0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1018846.02</v>
          </cell>
          <cell r="E19">
            <v>891267.51</v>
          </cell>
          <cell r="F19">
            <v>4441764</v>
          </cell>
          <cell r="G19">
            <v>5310446.7</v>
          </cell>
          <cell r="H19">
            <v>5810540.6299999999</v>
          </cell>
          <cell r="I19">
            <v>17472864.859999999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 t="str">
            <v>SUB TOTAL OF INTEREST INCOME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17472864.859999999</v>
          </cell>
        </row>
        <row r="22">
          <cell r="B22">
            <v>0</v>
          </cell>
          <cell r="C22" t="str">
            <v>DIVIDEND INCOME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0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 t="str">
            <v>SUB TOTAL OF DIVIDEND INCOME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>
            <v>0</v>
          </cell>
        </row>
        <row r="25">
          <cell r="B25">
            <v>0</v>
          </cell>
          <cell r="C25" t="str">
            <v xml:space="preserve"> OVERHEAD RECOVERIES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0</v>
          </cell>
        </row>
        <row r="26">
          <cell r="B26">
            <v>1330</v>
          </cell>
          <cell r="C26" t="str">
            <v>Overhead Recoveries Account</v>
          </cell>
          <cell r="D26">
            <v>55248</v>
          </cell>
          <cell r="E26">
            <v>22400241.050000001</v>
          </cell>
          <cell r="F26">
            <v>83992851.019999996</v>
          </cell>
          <cell r="G26">
            <v>51851529.18</v>
          </cell>
          <cell r="H26">
            <v>67988853.870000005</v>
          </cell>
          <cell r="I26">
            <v>226288723.12</v>
          </cell>
        </row>
        <row r="27">
          <cell r="B27">
            <v>1510</v>
          </cell>
          <cell r="C27" t="str">
            <v>Recoveries on House Rent Account</v>
          </cell>
          <cell r="D27">
            <v>22596</v>
          </cell>
          <cell r="E27">
            <v>75356.5</v>
          </cell>
          <cell r="F27">
            <v>1173847.1100000001</v>
          </cell>
          <cell r="G27">
            <v>473657.68</v>
          </cell>
          <cell r="H27">
            <v>562697.64</v>
          </cell>
          <cell r="I27">
            <v>2308154.9300000002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  <cell r="F28">
            <v>1500</v>
          </cell>
          <cell r="G28">
            <v>25367.02</v>
          </cell>
          <cell r="H28">
            <v>800</v>
          </cell>
          <cell r="I28">
            <v>27667.02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  <cell r="F29">
            <v>8900</v>
          </cell>
          <cell r="G29">
            <v>0</v>
          </cell>
          <cell r="H29">
            <v>0</v>
          </cell>
          <cell r="I29">
            <v>8900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  <cell r="F30">
            <v>5950</v>
          </cell>
          <cell r="G30">
            <v>0</v>
          </cell>
          <cell r="H30">
            <v>416208.85</v>
          </cell>
          <cell r="I30">
            <v>422158.85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  <cell r="F31">
            <v>1548520.69</v>
          </cell>
          <cell r="G31">
            <v>0</v>
          </cell>
          <cell r="H31">
            <v>382616.47</v>
          </cell>
          <cell r="I31">
            <v>1931137.16</v>
          </cell>
        </row>
        <row r="32">
          <cell r="B32">
            <v>0</v>
          </cell>
          <cell r="C32" t="str">
            <v>SUB TOTAL OF OVERHEAD RECOVERIES</v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>
            <v>230986741.08000001</v>
          </cell>
        </row>
        <row r="33">
          <cell r="B33">
            <v>0</v>
          </cell>
          <cell r="C33" t="str">
            <v xml:space="preserve"> PROFIT / LOSS ON DISPOSAl OF PPE</v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  <cell r="F35">
            <v>2910404</v>
          </cell>
          <cell r="G35">
            <v>0</v>
          </cell>
          <cell r="H35">
            <v>0</v>
          </cell>
          <cell r="I35">
            <v>2910404</v>
          </cell>
        </row>
        <row r="36">
          <cell r="B36">
            <v>0</v>
          </cell>
          <cell r="C36" t="str">
            <v>SUB TOTAL OF PROFIT / LOSS ON DISPOSAl OF PPE</v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>
            <v>2910404</v>
          </cell>
        </row>
        <row r="37">
          <cell r="B37">
            <v>0</v>
          </cell>
          <cell r="C37" t="str">
            <v xml:space="preserve"> MISSELANIOUS INCOME</v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  <cell r="F38">
            <v>4510369.17</v>
          </cell>
          <cell r="G38">
            <v>18449265.440000001</v>
          </cell>
          <cell r="H38">
            <v>19326147.440000001</v>
          </cell>
          <cell r="I38">
            <v>42285782.049999997</v>
          </cell>
        </row>
        <row r="39">
          <cell r="B39">
            <v>1300</v>
          </cell>
          <cell r="C39" t="str">
            <v>Miscellaneous Income Account</v>
          </cell>
          <cell r="D39">
            <v>1543132.46</v>
          </cell>
          <cell r="E39">
            <v>1187995.04</v>
          </cell>
          <cell r="F39">
            <v>13878868.66</v>
          </cell>
          <cell r="G39">
            <v>32049118.280000001</v>
          </cell>
          <cell r="H39">
            <v>9408371.2100000009</v>
          </cell>
          <cell r="I39">
            <v>58067485.649999999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  <cell r="F40">
            <v>1459240.15</v>
          </cell>
          <cell r="G40">
            <v>1135507.1599999999</v>
          </cell>
          <cell r="H40">
            <v>0</v>
          </cell>
          <cell r="I40">
            <v>2594747.3099999996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>
            <v>1320</v>
          </cell>
          <cell r="C43" t="str">
            <v>Materials removed from existing assets or ongoing jobs</v>
          </cell>
          <cell r="D43">
            <v>0</v>
          </cell>
          <cell r="E43">
            <v>0</v>
          </cell>
          <cell r="F43">
            <v>0</v>
          </cell>
          <cell r="G43">
            <v>301694</v>
          </cell>
          <cell r="H43">
            <v>0</v>
          </cell>
          <cell r="I43">
            <v>301694</v>
          </cell>
        </row>
        <row r="44">
          <cell r="B44">
            <v>1325</v>
          </cell>
          <cell r="C44" t="str">
            <v>Sale Of Ash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187656790.56</v>
          </cell>
          <cell r="E45">
            <v>14234756.789999999</v>
          </cell>
          <cell r="F45">
            <v>8513887.0399999991</v>
          </cell>
          <cell r="G45">
            <v>57596935.909999996</v>
          </cell>
          <cell r="H45">
            <v>70860415.969999999</v>
          </cell>
          <cell r="I45">
            <v>338862786.26999998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433500</v>
          </cell>
          <cell r="E46">
            <v>0</v>
          </cell>
          <cell r="F46">
            <v>59850</v>
          </cell>
          <cell r="G46">
            <v>0</v>
          </cell>
          <cell r="H46">
            <v>54500</v>
          </cell>
          <cell r="I46">
            <v>547850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  <cell r="F47">
            <v>10000</v>
          </cell>
          <cell r="G47">
            <v>0</v>
          </cell>
          <cell r="H47">
            <v>0</v>
          </cell>
          <cell r="I47">
            <v>10000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  <cell r="F48">
            <v>25616355.780000001</v>
          </cell>
          <cell r="G48">
            <v>1135326.31</v>
          </cell>
          <cell r="H48">
            <v>1909645.94</v>
          </cell>
          <cell r="I48">
            <v>28661328.030000001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  <cell r="F49">
            <v>3641500</v>
          </cell>
          <cell r="G49">
            <v>2198000</v>
          </cell>
          <cell r="H49">
            <v>2598515</v>
          </cell>
          <cell r="I49">
            <v>8438015</v>
          </cell>
        </row>
        <row r="50">
          <cell r="B50">
            <v>1385</v>
          </cell>
          <cell r="C50" t="str">
            <v>Fees collected from recovery training conducted by C.E.B</v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>
            <v>0</v>
          </cell>
        </row>
        <row r="51">
          <cell r="B51">
            <v>1390</v>
          </cell>
          <cell r="C51" t="str">
            <v>acturial gain or loss</v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>
            <v>0</v>
          </cell>
        </row>
        <row r="52">
          <cell r="B52">
            <v>0</v>
          </cell>
          <cell r="C52" t="str">
            <v>SUB TOTAL OF MISSELANIOUS INCOME</v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>
            <v>479769688.30999994</v>
          </cell>
        </row>
        <row r="53">
          <cell r="B53">
            <v>0</v>
          </cell>
          <cell r="C53" t="str">
            <v>TOTAL INCOME</v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>
            <v>18985199991.080002</v>
          </cell>
        </row>
        <row r="54">
          <cell r="B54">
            <v>0</v>
          </cell>
          <cell r="C54" t="str">
            <v xml:space="preserve"> PERSONNEL EXPENSES</v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>
            <v>0</v>
          </cell>
        </row>
        <row r="55">
          <cell r="B55">
            <v>2100</v>
          </cell>
          <cell r="C55" t="str">
            <v>Management Staff Salaries Account</v>
          </cell>
          <cell r="D55">
            <v>14367506.640000001</v>
          </cell>
          <cell r="E55">
            <v>5904303.46</v>
          </cell>
          <cell r="F55">
            <v>16584842.27</v>
          </cell>
          <cell r="G55">
            <v>21574170.68</v>
          </cell>
          <cell r="H55">
            <v>14893372.390000001</v>
          </cell>
          <cell r="I55">
            <v>73324195.439999998</v>
          </cell>
        </row>
        <row r="56">
          <cell r="B56">
            <v>2110</v>
          </cell>
          <cell r="C56" t="str">
            <v>Management Staff Allowances Account</v>
          </cell>
          <cell r="D56">
            <v>5080286.42</v>
          </cell>
          <cell r="E56">
            <v>3712233.93</v>
          </cell>
          <cell r="F56">
            <v>2204932.1800000002</v>
          </cell>
          <cell r="G56">
            <v>3674778.38</v>
          </cell>
          <cell r="H56">
            <v>4079952.24</v>
          </cell>
          <cell r="I56">
            <v>18752183.149999999</v>
          </cell>
        </row>
        <row r="57">
          <cell r="B57">
            <v>2120</v>
          </cell>
          <cell r="C57" t="str">
            <v>All the related expenses on Board of Directors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20323212.190000001</v>
          </cell>
          <cell r="E58">
            <v>10975745.300000001</v>
          </cell>
          <cell r="F58">
            <v>79621322.909999996</v>
          </cell>
          <cell r="G58">
            <v>103729619.04000001</v>
          </cell>
          <cell r="H58">
            <v>111282007.25</v>
          </cell>
          <cell r="I58">
            <v>325931906.69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24078.18</v>
          </cell>
          <cell r="I59">
            <v>24078.18</v>
          </cell>
        </row>
        <row r="60">
          <cell r="B60">
            <v>2300</v>
          </cell>
          <cell r="C60" t="str">
            <v>Other Staff Overtime Account</v>
          </cell>
          <cell r="D60">
            <v>5476035.9800000004</v>
          </cell>
          <cell r="E60">
            <v>3945280.14</v>
          </cell>
          <cell r="F60">
            <v>25643797.399999999</v>
          </cell>
          <cell r="G60">
            <v>40842096.189999998</v>
          </cell>
          <cell r="H60">
            <v>37287560.560000002</v>
          </cell>
          <cell r="I60">
            <v>113194770.27</v>
          </cell>
        </row>
        <row r="61">
          <cell r="B61">
            <v>2310</v>
          </cell>
          <cell r="C61" t="str">
            <v>Other Staff Allowances Account</v>
          </cell>
          <cell r="D61">
            <v>982585.28</v>
          </cell>
          <cell r="E61">
            <v>1262907.0900000001</v>
          </cell>
          <cell r="F61">
            <v>5597772.6699999999</v>
          </cell>
          <cell r="G61">
            <v>3734348.08</v>
          </cell>
          <cell r="H61">
            <v>7306344.5700000003</v>
          </cell>
          <cell r="I61">
            <v>18883957.690000001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8070195</v>
          </cell>
          <cell r="F64">
            <v>84081827.370000005</v>
          </cell>
          <cell r="G64">
            <v>94139956.310000002</v>
          </cell>
          <cell r="H64">
            <v>114294008.39</v>
          </cell>
          <cell r="I64">
            <v>300585987.06999999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3040083</v>
          </cell>
          <cell r="F67">
            <v>24553064.5</v>
          </cell>
          <cell r="G67">
            <v>35416751.170000002</v>
          </cell>
          <cell r="H67">
            <v>34634061.030000001</v>
          </cell>
          <cell r="I67">
            <v>97643959.700000003</v>
          </cell>
        </row>
        <row r="68">
          <cell r="B68">
            <v>2334</v>
          </cell>
          <cell r="C68" t="str">
            <v>Contract Employee Cost Account</v>
          </cell>
          <cell r="D68">
            <v>921164.34</v>
          </cell>
          <cell r="E68">
            <v>0</v>
          </cell>
          <cell r="F68">
            <v>1904</v>
          </cell>
          <cell r="G68">
            <v>226109.56</v>
          </cell>
          <cell r="H68">
            <v>2377279.71</v>
          </cell>
          <cell r="I68">
            <v>3526457.61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-18678627.98</v>
          </cell>
          <cell r="F69">
            <v>-31691326.199999999</v>
          </cell>
          <cell r="G69">
            <v>-65256502.899999999</v>
          </cell>
          <cell r="H69">
            <v>-59750473.43</v>
          </cell>
          <cell r="I69">
            <v>-175376930.50999999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345089.08</v>
          </cell>
          <cell r="E70">
            <v>275937.51</v>
          </cell>
          <cell r="F70">
            <v>333712.19</v>
          </cell>
          <cell r="G70">
            <v>257504.3</v>
          </cell>
          <cell r="H70">
            <v>517945.24</v>
          </cell>
          <cell r="I70">
            <v>1730188.32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0</v>
          </cell>
          <cell r="E71">
            <v>191.73</v>
          </cell>
          <cell r="F71">
            <v>3534755.17</v>
          </cell>
          <cell r="G71">
            <v>13233321.189999999</v>
          </cell>
          <cell r="H71">
            <v>9162857.5399999991</v>
          </cell>
          <cell r="I71">
            <v>25931125.629999999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1305848</v>
          </cell>
          <cell r="F72">
            <v>0</v>
          </cell>
          <cell r="G72">
            <v>124402.72</v>
          </cell>
          <cell r="H72">
            <v>29610</v>
          </cell>
          <cell r="I72">
            <v>1459860.72</v>
          </cell>
        </row>
        <row r="73">
          <cell r="B73">
            <v>2500</v>
          </cell>
          <cell r="C73" t="str">
            <v>Bonus Account</v>
          </cell>
          <cell r="D73">
            <v>18882.93</v>
          </cell>
          <cell r="E73">
            <v>34550.160000000003</v>
          </cell>
          <cell r="F73">
            <v>154878.29</v>
          </cell>
          <cell r="G73">
            <v>248501.14</v>
          </cell>
          <cell r="H73">
            <v>249425.09</v>
          </cell>
          <cell r="I73">
            <v>706237.61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  <cell r="F74">
            <v>199627.15</v>
          </cell>
          <cell r="G74">
            <v>282310</v>
          </cell>
          <cell r="H74">
            <v>175200.65</v>
          </cell>
          <cell r="I74">
            <v>657137.80000000005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100000</v>
          </cell>
          <cell r="I75">
            <v>100000</v>
          </cell>
        </row>
        <row r="76">
          <cell r="B76">
            <v>2530</v>
          </cell>
          <cell r="C76" t="str">
            <v>Non Sick Leave Incentive Account</v>
          </cell>
          <cell r="D76">
            <v>-92255</v>
          </cell>
          <cell r="E76">
            <v>99950</v>
          </cell>
          <cell r="F76">
            <v>114364.85</v>
          </cell>
          <cell r="G76">
            <v>174824.22</v>
          </cell>
          <cell r="H76">
            <v>254374.08</v>
          </cell>
          <cell r="I76">
            <v>551258.15</v>
          </cell>
        </row>
        <row r="77">
          <cell r="B77">
            <v>2540</v>
          </cell>
          <cell r="C77" t="str">
            <v>Allowances to Trainees Account</v>
          </cell>
          <cell r="D77">
            <v>528225</v>
          </cell>
          <cell r="E77">
            <v>0</v>
          </cell>
          <cell r="F77">
            <v>3289495</v>
          </cell>
          <cell r="G77">
            <v>724375</v>
          </cell>
          <cell r="H77">
            <v>7955960</v>
          </cell>
          <cell r="I77">
            <v>12498055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  <cell r="F78">
            <v>250000</v>
          </cell>
          <cell r="G78">
            <v>0</v>
          </cell>
          <cell r="H78">
            <v>0</v>
          </cell>
          <cell r="I78">
            <v>250000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1686343.39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1686343.39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0</v>
          </cell>
          <cell r="E82">
            <v>0</v>
          </cell>
          <cell r="F82">
            <v>38170</v>
          </cell>
          <cell r="G82">
            <v>55420</v>
          </cell>
          <cell r="H82">
            <v>58932.5</v>
          </cell>
          <cell r="I82">
            <v>152522.5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165087.59</v>
          </cell>
          <cell r="E84">
            <v>23184</v>
          </cell>
          <cell r="F84">
            <v>90273.43</v>
          </cell>
          <cell r="G84">
            <v>114694.95</v>
          </cell>
          <cell r="H84">
            <v>103462.84</v>
          </cell>
          <cell r="I84">
            <v>496702.81000000006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  <cell r="F85">
            <v>59220</v>
          </cell>
          <cell r="G85">
            <v>0</v>
          </cell>
          <cell r="H85">
            <v>0</v>
          </cell>
          <cell r="I85">
            <v>59220</v>
          </cell>
        </row>
        <row r="86">
          <cell r="B86">
            <v>2631</v>
          </cell>
          <cell r="C86" t="str">
            <v>Staff Welfare  - Medical Expenses Account</v>
          </cell>
          <cell r="D86">
            <v>1500</v>
          </cell>
          <cell r="E86">
            <v>0</v>
          </cell>
          <cell r="F86">
            <v>9309.5</v>
          </cell>
          <cell r="G86">
            <v>22666.03</v>
          </cell>
          <cell r="H86">
            <v>500</v>
          </cell>
          <cell r="I86">
            <v>33975.53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0</v>
          </cell>
          <cell r="E87">
            <v>0</v>
          </cell>
          <cell r="F87">
            <v>370</v>
          </cell>
          <cell r="G87">
            <v>0</v>
          </cell>
          <cell r="H87">
            <v>0</v>
          </cell>
          <cell r="I87">
            <v>370</v>
          </cell>
        </row>
        <row r="88">
          <cell r="B88">
            <v>2635</v>
          </cell>
          <cell r="C88" t="str">
            <v>Executive Officers Mobile Allowance Account</v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1120628.96</v>
          </cell>
          <cell r="E89">
            <v>2440815.11</v>
          </cell>
          <cell r="F89">
            <v>2281787.62</v>
          </cell>
          <cell r="G89">
            <v>5691735.5</v>
          </cell>
          <cell r="H89">
            <v>6005823.0300000003</v>
          </cell>
          <cell r="I89">
            <v>17540790.219999999</v>
          </cell>
        </row>
        <row r="90">
          <cell r="B90">
            <v>2641</v>
          </cell>
          <cell r="C90" t="str">
            <v>Medical Expenses  - Out door Account</v>
          </cell>
          <cell r="D90">
            <v>1155355.77</v>
          </cell>
          <cell r="E90">
            <v>782123.45</v>
          </cell>
          <cell r="F90">
            <v>4023852.5</v>
          </cell>
          <cell r="G90">
            <v>4911337.33</v>
          </cell>
          <cell r="H90">
            <v>5929964.1100000003</v>
          </cell>
          <cell r="I90">
            <v>16802633.16</v>
          </cell>
        </row>
        <row r="91">
          <cell r="B91">
            <v>2650</v>
          </cell>
          <cell r="C91" t="str">
            <v>Uniforms &amp; Protective Clothing Account</v>
          </cell>
          <cell r="D91">
            <v>24449</v>
          </cell>
          <cell r="E91">
            <v>177700</v>
          </cell>
          <cell r="F91">
            <v>746015.3</v>
          </cell>
          <cell r="G91">
            <v>1478029.02</v>
          </cell>
          <cell r="H91">
            <v>140562.6</v>
          </cell>
          <cell r="I91">
            <v>2566755.9200000004</v>
          </cell>
        </row>
        <row r="92">
          <cell r="B92">
            <v>2660</v>
          </cell>
          <cell r="C92" t="str">
            <v>Reimbursement of loan Interest Account</v>
          </cell>
          <cell r="D92">
            <v>3115922.49</v>
          </cell>
          <cell r="E92">
            <v>3137957.14</v>
          </cell>
          <cell r="F92">
            <v>21420014.66</v>
          </cell>
          <cell r="G92">
            <v>33829306.640000001</v>
          </cell>
          <cell r="H92">
            <v>21522239.280000001</v>
          </cell>
          <cell r="I92">
            <v>83025440.210000008</v>
          </cell>
        </row>
        <row r="93">
          <cell r="B93">
            <v>2670</v>
          </cell>
          <cell r="C93" t="str">
            <v>PAYE Tax  Account</v>
          </cell>
          <cell r="D93">
            <v>2492055.5499999998</v>
          </cell>
          <cell r="E93">
            <v>1148486.1000000001</v>
          </cell>
          <cell r="F93">
            <v>4828413.63</v>
          </cell>
          <cell r="G93">
            <v>6170237.4199999999</v>
          </cell>
          <cell r="H93">
            <v>2679670.5299999998</v>
          </cell>
          <cell r="I93">
            <v>17318863.23</v>
          </cell>
        </row>
        <row r="94">
          <cell r="B94">
            <v>2680</v>
          </cell>
          <cell r="C94" t="str">
            <v>CEB Pension Fund Account</v>
          </cell>
          <cell r="D94">
            <v>3005277.45</v>
          </cell>
          <cell r="E94">
            <v>3356771.48</v>
          </cell>
          <cell r="F94">
            <v>13756874.09</v>
          </cell>
          <cell r="G94">
            <v>16105192.380000001</v>
          </cell>
          <cell r="H94">
            <v>18357834.870000001</v>
          </cell>
          <cell r="I94">
            <v>54581950.269999996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1126979.06</v>
          </cell>
          <cell r="E96">
            <v>1258789.31</v>
          </cell>
          <cell r="F96">
            <v>5736284.5599999996</v>
          </cell>
          <cell r="G96">
            <v>7133592.5300000003</v>
          </cell>
          <cell r="H96">
            <v>6985847.8300000001</v>
          </cell>
          <cell r="I96">
            <v>22241493.289999999</v>
          </cell>
        </row>
        <row r="97">
          <cell r="B97">
            <v>2710</v>
          </cell>
          <cell r="C97" t="str">
            <v>CEB Provident Fund Account</v>
          </cell>
          <cell r="D97">
            <v>5173302.9800000004</v>
          </cell>
          <cell r="E97">
            <v>6293946.5800000001</v>
          </cell>
          <cell r="F97">
            <v>24442082.73</v>
          </cell>
          <cell r="G97">
            <v>31794451.789999999</v>
          </cell>
          <cell r="H97">
            <v>34886392.380000003</v>
          </cell>
          <cell r="I97">
            <v>102590176.46000001</v>
          </cell>
        </row>
        <row r="98">
          <cell r="B98">
            <v>0</v>
          </cell>
          <cell r="C98" t="str">
            <v>personel cost on pension fund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>
            <v>0</v>
          </cell>
        </row>
        <row r="99">
          <cell r="B99">
            <v>0</v>
          </cell>
          <cell r="C99" t="str">
            <v>PERSONNEL EXPENSES - SUB TOTAL</v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>
            <v>1139471665.51</v>
          </cell>
        </row>
        <row r="100">
          <cell r="B100">
            <v>0</v>
          </cell>
          <cell r="C100" t="str">
            <v xml:space="preserve"> MATERIAL COST</v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0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13684112451.209999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13684112451.209999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45000</v>
          </cell>
          <cell r="F108">
            <v>0</v>
          </cell>
          <cell r="G108">
            <v>0</v>
          </cell>
          <cell r="H108">
            <v>0</v>
          </cell>
          <cell r="I108">
            <v>45000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1383626</v>
          </cell>
          <cell r="E110">
            <v>4698358.62</v>
          </cell>
          <cell r="F110">
            <v>96182686.359999999</v>
          </cell>
          <cell r="G110">
            <v>59566600.909999996</v>
          </cell>
          <cell r="H110">
            <v>76271325.150000006</v>
          </cell>
          <cell r="I110">
            <v>238102597.03999999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480803.6</v>
          </cell>
          <cell r="E113">
            <v>0</v>
          </cell>
          <cell r="F113">
            <v>0</v>
          </cell>
          <cell r="G113">
            <v>57376</v>
          </cell>
          <cell r="H113">
            <v>0</v>
          </cell>
          <cell r="I113">
            <v>538179.6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  <cell r="F114">
            <v>4340</v>
          </cell>
          <cell r="G114">
            <v>7363854.4000000004</v>
          </cell>
          <cell r="H114">
            <v>4675</v>
          </cell>
          <cell r="I114">
            <v>7372869.4000000004</v>
          </cell>
        </row>
        <row r="115">
          <cell r="B115">
            <v>3212</v>
          </cell>
          <cell r="C115" t="str">
            <v>Expenses incurred on the maintenance and hiring of Tug Boats and Barges in coal transport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  <cell r="F116">
            <v>0</v>
          </cell>
          <cell r="G116">
            <v>390563.71</v>
          </cell>
          <cell r="H116">
            <v>0</v>
          </cell>
          <cell r="I116">
            <v>390563.71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8388</v>
          </cell>
          <cell r="F118">
            <v>16722</v>
          </cell>
          <cell r="G118">
            <v>0</v>
          </cell>
          <cell r="H118">
            <v>14689</v>
          </cell>
          <cell r="I118">
            <v>39799</v>
          </cell>
        </row>
        <row r="119">
          <cell r="B119">
            <v>3300</v>
          </cell>
          <cell r="C119" t="str">
            <v>Loose Tools Account</v>
          </cell>
          <cell r="D119">
            <v>0</v>
          </cell>
          <cell r="E119">
            <v>331597.27</v>
          </cell>
          <cell r="F119">
            <v>12634227.039999999</v>
          </cell>
          <cell r="G119">
            <v>359056.64000000001</v>
          </cell>
          <cell r="H119">
            <v>6152448.2800000003</v>
          </cell>
          <cell r="I119">
            <v>19477329.23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  <cell r="F120">
            <v>0</v>
          </cell>
          <cell r="G120">
            <v>1385691.8</v>
          </cell>
          <cell r="H120">
            <v>0</v>
          </cell>
          <cell r="I120">
            <v>1385691.8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65470085.479999997</v>
          </cell>
          <cell r="E122">
            <v>-140088.48000000001</v>
          </cell>
          <cell r="F122">
            <v>0</v>
          </cell>
          <cell r="G122">
            <v>0</v>
          </cell>
          <cell r="H122">
            <v>19226655.789999999</v>
          </cell>
          <cell r="I122">
            <v>84556652.789999992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B125">
            <v>0</v>
          </cell>
          <cell r="C125" t="str">
            <v>MATERIAL COST - SUB TOTAL</v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>
            <v>14036021133.779999</v>
          </cell>
        </row>
        <row r="126">
          <cell r="B126">
            <v>0</v>
          </cell>
          <cell r="C126" t="str">
            <v>ACCOMMODATION EXPENSES</v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>
            <v>0</v>
          </cell>
        </row>
        <row r="127">
          <cell r="B127">
            <v>4100</v>
          </cell>
          <cell r="C127" t="str">
            <v>Housing Rent and Rates Account</v>
          </cell>
          <cell r="D127">
            <v>498555.7</v>
          </cell>
          <cell r="E127">
            <v>958750</v>
          </cell>
          <cell r="F127">
            <v>3855256.47</v>
          </cell>
          <cell r="G127">
            <v>2911895.92</v>
          </cell>
          <cell r="H127">
            <v>8458117.1600000001</v>
          </cell>
          <cell r="I127">
            <v>16682575.25</v>
          </cell>
        </row>
        <row r="128">
          <cell r="B128">
            <v>4110</v>
          </cell>
          <cell r="C128" t="str">
            <v>Building Maintenance Account</v>
          </cell>
          <cell r="D128">
            <v>1197026.31</v>
          </cell>
          <cell r="E128">
            <v>136696.20000000001</v>
          </cell>
          <cell r="F128">
            <v>6927592.5</v>
          </cell>
          <cell r="G128">
            <v>3724507.42</v>
          </cell>
          <cell r="H128">
            <v>22733057.800000001</v>
          </cell>
          <cell r="I128">
            <v>34718880.230000004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  <cell r="F129">
            <v>436458.65</v>
          </cell>
          <cell r="G129">
            <v>0</v>
          </cell>
          <cell r="H129">
            <v>400728</v>
          </cell>
          <cell r="I129">
            <v>837186.65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239558.79</v>
          </cell>
          <cell r="E130">
            <v>292911.5</v>
          </cell>
          <cell r="F130">
            <v>748638.74</v>
          </cell>
          <cell r="G130">
            <v>1566284.47</v>
          </cell>
          <cell r="H130">
            <v>2058010.05</v>
          </cell>
          <cell r="I130">
            <v>4905403.55</v>
          </cell>
        </row>
        <row r="131">
          <cell r="B131">
            <v>4300</v>
          </cell>
          <cell r="C131" t="str">
            <v>Electricity  Consumption Account</v>
          </cell>
          <cell r="D131">
            <v>5129784.99</v>
          </cell>
          <cell r="E131">
            <v>286715.08</v>
          </cell>
          <cell r="F131">
            <v>2136226.6</v>
          </cell>
          <cell r="G131">
            <v>2046006.41</v>
          </cell>
          <cell r="H131">
            <v>5782735.0199999996</v>
          </cell>
          <cell r="I131">
            <v>15381468.1</v>
          </cell>
        </row>
        <row r="132">
          <cell r="B132">
            <v>4400</v>
          </cell>
          <cell r="C132" t="str">
            <v>Water Supply Charges Account</v>
          </cell>
          <cell r="D132">
            <v>201782.15</v>
          </cell>
          <cell r="E132">
            <v>79696.2</v>
          </cell>
          <cell r="F132">
            <v>729432.78</v>
          </cell>
          <cell r="G132">
            <v>980041.19</v>
          </cell>
          <cell r="H132">
            <v>1149589.3799999999</v>
          </cell>
          <cell r="I132">
            <v>3140541.6999999997</v>
          </cell>
        </row>
        <row r="133">
          <cell r="B133">
            <v>0</v>
          </cell>
          <cell r="C133" t="str">
            <v>ACCOMMODATION EXPENSES - SUB TOTAL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>
            <v>75666055.480000004</v>
          </cell>
        </row>
        <row r="134">
          <cell r="B134">
            <v>0</v>
          </cell>
          <cell r="C134" t="str">
            <v>TRANSPORT &amp; COMMUNICATION EXPENSES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>
            <v>0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728962.5</v>
          </cell>
          <cell r="E135">
            <v>3633402.94</v>
          </cell>
          <cell r="F135">
            <v>8516850.5800000001</v>
          </cell>
          <cell r="G135">
            <v>5389880.6500000004</v>
          </cell>
          <cell r="H135">
            <v>11964939.9</v>
          </cell>
          <cell r="I135">
            <v>30234036.57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2187436.3199999998</v>
          </cell>
          <cell r="E137">
            <v>5054930.12</v>
          </cell>
          <cell r="F137">
            <v>15309234.99</v>
          </cell>
          <cell r="G137">
            <v>10460942.33</v>
          </cell>
          <cell r="H137">
            <v>27194261.359999999</v>
          </cell>
          <cell r="I137">
            <v>60206805.119999997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2694532.4</v>
          </cell>
          <cell r="E138">
            <v>4473370.71</v>
          </cell>
          <cell r="F138">
            <v>28876017.07</v>
          </cell>
          <cell r="G138">
            <v>13417457.800000001</v>
          </cell>
          <cell r="H138">
            <v>30823199.920000002</v>
          </cell>
          <cell r="I138">
            <v>80284577.900000006</v>
          </cell>
        </row>
        <row r="139">
          <cell r="B139">
            <v>5220</v>
          </cell>
          <cell r="C139" t="str">
            <v>Vehicle Hire Charges Account</v>
          </cell>
          <cell r="D139">
            <v>1397630.75</v>
          </cell>
          <cell r="E139">
            <v>1357115.37</v>
          </cell>
          <cell r="F139">
            <v>17213844.73</v>
          </cell>
          <cell r="G139">
            <v>15165228.73</v>
          </cell>
          <cell r="H139">
            <v>24973242.329999998</v>
          </cell>
          <cell r="I139">
            <v>60107061.909999996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  <cell r="F140">
            <v>401219.52</v>
          </cell>
          <cell r="G140">
            <v>0</v>
          </cell>
          <cell r="H140">
            <v>8331002.8300000001</v>
          </cell>
          <cell r="I140">
            <v>8732222.3499999996</v>
          </cell>
        </row>
        <row r="141">
          <cell r="B141">
            <v>5300</v>
          </cell>
          <cell r="C141" t="str">
            <v>Office Supplies Account</v>
          </cell>
          <cell r="D141">
            <v>1375694.74</v>
          </cell>
          <cell r="E141">
            <v>384579.92</v>
          </cell>
          <cell r="F141">
            <v>7992727.2999999998</v>
          </cell>
          <cell r="G141">
            <v>9618867.9199999999</v>
          </cell>
          <cell r="H141">
            <v>6955311.2699999996</v>
          </cell>
          <cell r="I141">
            <v>26327181.149999999</v>
          </cell>
        </row>
        <row r="142">
          <cell r="B142">
            <v>5310</v>
          </cell>
          <cell r="C142" t="str">
            <v>Postage Account</v>
          </cell>
          <cell r="D142">
            <v>91145</v>
          </cell>
          <cell r="E142">
            <v>12150</v>
          </cell>
          <cell r="F142">
            <v>620814.12</v>
          </cell>
          <cell r="G142">
            <v>405547.7</v>
          </cell>
          <cell r="H142">
            <v>1089782.5900000001</v>
          </cell>
          <cell r="I142">
            <v>2219439.41</v>
          </cell>
        </row>
        <row r="143">
          <cell r="B143">
            <v>5320</v>
          </cell>
          <cell r="C143" t="str">
            <v>Telecommunications Account</v>
          </cell>
          <cell r="D143">
            <v>1731277.78</v>
          </cell>
          <cell r="E143">
            <v>36960.230000000003</v>
          </cell>
          <cell r="F143">
            <v>4329947.67</v>
          </cell>
          <cell r="G143">
            <v>4435865.87</v>
          </cell>
          <cell r="H143">
            <v>4497410.47</v>
          </cell>
          <cell r="I143">
            <v>15031462.02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B145">
            <v>5322</v>
          </cell>
          <cell r="C145" t="str">
            <v>Expenses on data communication links (VPNs, Leased Lines etc)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>
            <v>0</v>
          </cell>
        </row>
        <row r="146">
          <cell r="B146">
            <v>5323</v>
          </cell>
          <cell r="C146" t="str">
            <v>Expenses on purchase / renewal of software licenses (such as e-mail, Citrix, informix, Uniface user accounts etc.)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>
            <v>0</v>
          </cell>
        </row>
        <row r="147">
          <cell r="B147">
            <v>5324</v>
          </cell>
          <cell r="C147" t="str">
            <v>Expenses on maintenance of Information Technology (IT) related hardware (such as watch guard router, billing srvers, computers, printers, UPS, call center equipments etc.)</v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>
            <v>0</v>
          </cell>
        </row>
        <row r="148">
          <cell r="B148">
            <v>0</v>
          </cell>
          <cell r="C148" t="str">
            <v>TRANSPORT &amp; COMMUNICATION EXP. - SUB TOTAL</v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>
            <v>283142786.43000001</v>
          </cell>
        </row>
        <row r="149">
          <cell r="B149">
            <v>0</v>
          </cell>
          <cell r="C149" t="str">
            <v xml:space="preserve"> DEPRECIATION</v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>
            <v>0</v>
          </cell>
        </row>
        <row r="150">
          <cell r="B150">
            <v>6000</v>
          </cell>
          <cell r="C150" t="str">
            <v>Depreciation Account</v>
          </cell>
          <cell r="D150">
            <v>1138702209.2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1138702209.2</v>
          </cell>
        </row>
        <row r="151">
          <cell r="B151">
            <v>0</v>
          </cell>
          <cell r="C151" t="str">
            <v>DEPRECIATION - SUB TOTAL</v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>
            <v>1138702209.2</v>
          </cell>
        </row>
        <row r="152">
          <cell r="B152">
            <v>0</v>
          </cell>
          <cell r="C152" t="str">
            <v xml:space="preserve"> OTHER EXPENSES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>
            <v>0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967862.79</v>
          </cell>
          <cell r="E154">
            <v>308571.44</v>
          </cell>
          <cell r="F154">
            <v>6755739.4500000002</v>
          </cell>
          <cell r="G154">
            <v>6247214.7599999998</v>
          </cell>
          <cell r="H154">
            <v>10843069.4</v>
          </cell>
          <cell r="I154">
            <v>25122457.84</v>
          </cell>
        </row>
        <row r="155">
          <cell r="B155">
            <v>7211</v>
          </cell>
          <cell r="C155" t="str">
            <v>Payment to Manpower Agencies Account</v>
          </cell>
          <cell r="D155">
            <v>6912703.21</v>
          </cell>
          <cell r="E155">
            <v>1862128.81</v>
          </cell>
          <cell r="F155">
            <v>58737532</v>
          </cell>
          <cell r="G155">
            <v>44375357.149999999</v>
          </cell>
          <cell r="H155">
            <v>82983778.579999998</v>
          </cell>
          <cell r="I155">
            <v>194871499.75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180000</v>
          </cell>
          <cell r="I156">
            <v>180000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  <cell r="F157">
            <v>372233.2</v>
          </cell>
          <cell r="G157">
            <v>28800</v>
          </cell>
          <cell r="H157">
            <v>0</v>
          </cell>
          <cell r="I157">
            <v>401033.2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  <cell r="F160">
            <v>40000</v>
          </cell>
          <cell r="G160">
            <v>400</v>
          </cell>
          <cell r="H160">
            <v>85160</v>
          </cell>
          <cell r="I160">
            <v>125560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22000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22000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135778</v>
          </cell>
          <cell r="E165">
            <v>0</v>
          </cell>
          <cell r="F165">
            <v>0</v>
          </cell>
          <cell r="G165">
            <v>16120</v>
          </cell>
          <cell r="H165">
            <v>0</v>
          </cell>
          <cell r="I165">
            <v>151898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271850</v>
          </cell>
          <cell r="E166">
            <v>0</v>
          </cell>
          <cell r="F166">
            <v>0</v>
          </cell>
          <cell r="G166">
            <v>0</v>
          </cell>
          <cell r="H166">
            <v>132250</v>
          </cell>
          <cell r="I166">
            <v>404100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0</v>
          </cell>
          <cell r="E168">
            <v>7080</v>
          </cell>
          <cell r="F168">
            <v>0</v>
          </cell>
          <cell r="G168">
            <v>0</v>
          </cell>
          <cell r="H168">
            <v>1005</v>
          </cell>
          <cell r="I168">
            <v>8085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146192.46</v>
          </cell>
          <cell r="I169">
            <v>146192.46</v>
          </cell>
        </row>
        <row r="170">
          <cell r="B170">
            <v>7510</v>
          </cell>
          <cell r="C170" t="str">
            <v>Entertainment Account</v>
          </cell>
          <cell r="D170">
            <v>540000.98</v>
          </cell>
          <cell r="E170">
            <v>62823.66</v>
          </cell>
          <cell r="F170">
            <v>204564</v>
          </cell>
          <cell r="G170">
            <v>592114.6</v>
          </cell>
          <cell r="H170">
            <v>845613.5</v>
          </cell>
          <cell r="I170">
            <v>2245116.7400000002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1235194.52</v>
          </cell>
          <cell r="E172">
            <v>0</v>
          </cell>
          <cell r="F172">
            <v>2807818.48</v>
          </cell>
          <cell r="G172">
            <v>2638359.42</v>
          </cell>
          <cell r="H172">
            <v>2634198.4300000002</v>
          </cell>
          <cell r="I172">
            <v>9315570.8499999996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  <cell r="F173">
            <v>155234.69</v>
          </cell>
          <cell r="G173">
            <v>0</v>
          </cell>
          <cell r="H173">
            <v>113862.18</v>
          </cell>
          <cell r="I173">
            <v>269096.87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  <cell r="F176">
            <v>1250000</v>
          </cell>
          <cell r="G176">
            <v>0</v>
          </cell>
          <cell r="H176">
            <v>1062500</v>
          </cell>
          <cell r="I176">
            <v>2312500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  <cell r="F180">
            <v>5773677.9800000004</v>
          </cell>
          <cell r="G180">
            <v>2376455.29</v>
          </cell>
          <cell r="H180">
            <v>12280980.51</v>
          </cell>
          <cell r="I180">
            <v>20431113.780000001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382271.5</v>
          </cell>
          <cell r="I181">
            <v>382271.5</v>
          </cell>
        </row>
        <row r="182">
          <cell r="B182">
            <v>7800</v>
          </cell>
          <cell r="C182" t="str">
            <v>Miscellaneous Expense Account</v>
          </cell>
          <cell r="D182">
            <v>723873.1</v>
          </cell>
          <cell r="E182">
            <v>248745.05</v>
          </cell>
          <cell r="F182">
            <v>12192354.27</v>
          </cell>
          <cell r="G182">
            <v>551963.35</v>
          </cell>
          <cell r="H182">
            <v>2250643.0699999998</v>
          </cell>
          <cell r="I182">
            <v>15967578.84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  <cell r="F183">
            <v>500000</v>
          </cell>
          <cell r="G183">
            <v>213742</v>
          </cell>
          <cell r="H183">
            <v>114602.68</v>
          </cell>
          <cell r="I183">
            <v>828344.67999999993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0</v>
          </cell>
          <cell r="E184">
            <v>105147.04</v>
          </cell>
          <cell r="F184">
            <v>851786.47</v>
          </cell>
          <cell r="G184">
            <v>570387.25</v>
          </cell>
          <cell r="H184">
            <v>533481.66</v>
          </cell>
          <cell r="I184">
            <v>2060802.42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  <cell r="F185">
            <v>39084069.109999999</v>
          </cell>
          <cell r="G185">
            <v>11783781.130000001</v>
          </cell>
          <cell r="H185">
            <v>37583498.119999997</v>
          </cell>
          <cell r="I185">
            <v>88451348.359999999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  <cell r="F186">
            <v>5247604.24</v>
          </cell>
          <cell r="G186">
            <v>0</v>
          </cell>
          <cell r="H186">
            <v>1596</v>
          </cell>
          <cell r="I186">
            <v>5249200.24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>
            <v>0</v>
          </cell>
        </row>
        <row r="191">
          <cell r="B191">
            <v>7854</v>
          </cell>
          <cell r="C191" t="str">
            <v xml:space="preserve">Payment to resource persons and expenses related to refreshment,stationary etc </v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>
            <v>0</v>
          </cell>
        </row>
        <row r="192">
          <cell r="B192">
            <v>0</v>
          </cell>
          <cell r="C192" t="str">
            <v>OTHER EXPENSES - SUB TOTAL</v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>
            <v>368945770.53000003</v>
          </cell>
        </row>
        <row r="193">
          <cell r="B193">
            <v>0</v>
          </cell>
          <cell r="C193" t="str">
            <v>FINANCE COST</v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>
            <v>0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0</v>
          </cell>
          <cell r="E196">
            <v>0</v>
          </cell>
          <cell r="F196">
            <v>2689.09</v>
          </cell>
          <cell r="G196">
            <v>0</v>
          </cell>
          <cell r="H196">
            <v>0</v>
          </cell>
          <cell r="I196">
            <v>2689.09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18843737.100000001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18843737.100000001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  <cell r="F200">
            <v>4922081</v>
          </cell>
          <cell r="G200">
            <v>3482241.02</v>
          </cell>
          <cell r="H200">
            <v>608527.94999999995</v>
          </cell>
          <cell r="I200">
            <v>9012849.9699999988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176490.36</v>
          </cell>
          <cell r="I201">
            <v>176490.36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  <cell r="F203">
            <v>104350</v>
          </cell>
          <cell r="G203">
            <v>351350</v>
          </cell>
          <cell r="H203">
            <v>0</v>
          </cell>
          <cell r="I203">
            <v>455700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B207">
            <v>9200</v>
          </cell>
          <cell r="C207" t="str">
            <v>CON. FUND TAX</v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>
            <v>0</v>
          </cell>
        </row>
        <row r="208">
          <cell r="B208">
            <v>9300</v>
          </cell>
          <cell r="C208" t="str">
            <v>Deferred tax expense/( income )</v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>
            <v>0</v>
          </cell>
        </row>
      </sheetData>
      <sheetData sheetId="24"/>
      <sheetData sheetId="25"/>
      <sheetData sheetId="26"/>
      <sheetData sheetId="27"/>
      <sheetData sheetId="28"/>
      <sheetData sheetId="29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0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0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0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</row>
        <row r="16">
          <cell r="B16">
            <v>0</v>
          </cell>
          <cell r="C16" t="str">
            <v>SUB TOTAL OF TURNOVER</v>
          </cell>
          <cell r="D16">
            <v>0</v>
          </cell>
          <cell r="E16">
            <v>0</v>
          </cell>
        </row>
        <row r="17">
          <cell r="B17">
            <v>0</v>
          </cell>
          <cell r="C17" t="str">
            <v xml:space="preserve"> INTEREST INCOME</v>
          </cell>
          <cell r="D17">
            <v>0</v>
          </cell>
          <cell r="E17">
            <v>0</v>
          </cell>
        </row>
        <row r="18">
          <cell r="B18">
            <v>1400</v>
          </cell>
          <cell r="C18" t="str">
            <v>Interest on Investment Account</v>
          </cell>
          <cell r="D18">
            <v>-53853113.049999997</v>
          </cell>
          <cell r="E18">
            <v>53853113.049999997</v>
          </cell>
        </row>
        <row r="19">
          <cell r="B19">
            <v>1420</v>
          </cell>
          <cell r="C19" t="str">
            <v>Interest on Staff Loan Account</v>
          </cell>
          <cell r="D19">
            <v>-4414607.5999999996</v>
          </cell>
          <cell r="E19">
            <v>4414607.5999999996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B21">
            <v>0</v>
          </cell>
          <cell r="C21" t="str">
            <v>SUB TOTAL OF INTEREST INCOME</v>
          </cell>
          <cell r="D21">
            <v>0</v>
          </cell>
          <cell r="E21">
            <v>58267720.649999999</v>
          </cell>
        </row>
        <row r="22">
          <cell r="B22">
            <v>0</v>
          </cell>
          <cell r="C22" t="str">
            <v>DIVIDEND INCOME</v>
          </cell>
          <cell r="D22">
            <v>0</v>
          </cell>
          <cell r="E22">
            <v>0</v>
          </cell>
        </row>
        <row r="23">
          <cell r="B23">
            <v>1210</v>
          </cell>
          <cell r="C23" t="str">
            <v xml:space="preserve">Dividends Account  </v>
          </cell>
          <cell r="D23">
            <v>-1259748050</v>
          </cell>
          <cell r="E23">
            <v>1259748050</v>
          </cell>
        </row>
        <row r="24">
          <cell r="B24">
            <v>0</v>
          </cell>
          <cell r="C24" t="str">
            <v>SUB TOTAL OF DIVIDEND INCOME</v>
          </cell>
          <cell r="D24">
            <v>0</v>
          </cell>
          <cell r="E24">
            <v>1259748050</v>
          </cell>
        </row>
        <row r="25">
          <cell r="B25">
            <v>0</v>
          </cell>
          <cell r="C25" t="str">
            <v xml:space="preserve"> OVERHEAD RECOVERIES</v>
          </cell>
          <cell r="D25">
            <v>0</v>
          </cell>
          <cell r="E25">
            <v>0</v>
          </cell>
        </row>
        <row r="26">
          <cell r="B26">
            <v>1330</v>
          </cell>
          <cell r="C26" t="str">
            <v>Overhead Recoveries Account</v>
          </cell>
          <cell r="D26">
            <v>0</v>
          </cell>
          <cell r="E26">
            <v>0</v>
          </cell>
        </row>
        <row r="27">
          <cell r="B27">
            <v>1510</v>
          </cell>
          <cell r="C27" t="str">
            <v>Recoveries on House Rent Account</v>
          </cell>
          <cell r="D27">
            <v>-12050</v>
          </cell>
          <cell r="E27">
            <v>12050</v>
          </cell>
        </row>
        <row r="28">
          <cell r="B28">
            <v>1520</v>
          </cell>
          <cell r="C28" t="str">
            <v>Recoveries on Telephone Account</v>
          </cell>
          <cell r="D28">
            <v>-121699.59</v>
          </cell>
          <cell r="E28">
            <v>121699.59</v>
          </cell>
        </row>
        <row r="29">
          <cell r="B29">
            <v>1530</v>
          </cell>
          <cell r="C29" t="str">
            <v>Recoveries on Use of Motor Vehicle Account</v>
          </cell>
          <cell r="D29">
            <v>-32550</v>
          </cell>
          <cell r="E29">
            <v>32550</v>
          </cell>
        </row>
        <row r="30">
          <cell r="B30">
            <v>1540</v>
          </cell>
          <cell r="C30" t="str">
            <v>Recoveries on Circuit Bungalow Account</v>
          </cell>
          <cell r="D30">
            <v>-1089524.5</v>
          </cell>
          <cell r="E30">
            <v>1089524.5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</row>
        <row r="32">
          <cell r="B32">
            <v>0</v>
          </cell>
          <cell r="C32" t="str">
            <v>SUB TOTAL OF OVERHEAD RECOVERIES</v>
          </cell>
          <cell r="D32">
            <v>0</v>
          </cell>
          <cell r="E32">
            <v>1255824.0900000001</v>
          </cell>
        </row>
        <row r="33">
          <cell r="B33">
            <v>0</v>
          </cell>
          <cell r="C33" t="str">
            <v xml:space="preserve"> PROFIT / LOSS ON DISPOSAl OF PPE</v>
          </cell>
          <cell r="D33">
            <v>0</v>
          </cell>
          <cell r="E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</row>
        <row r="36">
          <cell r="B36">
            <v>0</v>
          </cell>
          <cell r="C36" t="str">
            <v>SUB TOTAL OF PROFIT / LOSS ON DISPOSAl OF PPE</v>
          </cell>
          <cell r="D36">
            <v>0</v>
          </cell>
          <cell r="E36">
            <v>0</v>
          </cell>
        </row>
        <row r="37">
          <cell r="B37">
            <v>0</v>
          </cell>
          <cell r="C37" t="str">
            <v xml:space="preserve"> MISSELANIOUS INCOME</v>
          </cell>
          <cell r="D37">
            <v>0</v>
          </cell>
          <cell r="E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</row>
        <row r="39">
          <cell r="B39">
            <v>1300</v>
          </cell>
          <cell r="C39" t="str">
            <v>Miscellaneous Income Account</v>
          </cell>
          <cell r="D39">
            <v>-1301015467.99</v>
          </cell>
          <cell r="E39">
            <v>1301015467.99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</row>
        <row r="43">
          <cell r="B43">
            <v>1320</v>
          </cell>
          <cell r="C43" t="str">
            <v>Materials removed from existing assets or ongoing jobs</v>
          </cell>
          <cell r="D43">
            <v>0</v>
          </cell>
          <cell r="E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0</v>
          </cell>
          <cell r="E45">
            <v>0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-6500</v>
          </cell>
          <cell r="E46">
            <v>6500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</row>
        <row r="50">
          <cell r="B50">
            <v>1385</v>
          </cell>
          <cell r="C50" t="str">
            <v>Fees collected from recovery training conducted by C.E.B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B52">
            <v>0</v>
          </cell>
          <cell r="C52" t="str">
            <v>SUB TOTAL OF MISSELANIOUS INCOME</v>
          </cell>
          <cell r="D52">
            <v>0</v>
          </cell>
          <cell r="E52">
            <v>1301021967.99</v>
          </cell>
        </row>
        <row r="53">
          <cell r="B53">
            <v>0</v>
          </cell>
          <cell r="C53" t="str">
            <v>TOTAL INCOME</v>
          </cell>
          <cell r="D53">
            <v>0</v>
          </cell>
          <cell r="E53">
            <v>2620293562.73</v>
          </cell>
        </row>
        <row r="54">
          <cell r="B54">
            <v>0</v>
          </cell>
          <cell r="C54" t="str">
            <v xml:space="preserve"> PERSONNEL EXPENSES</v>
          </cell>
          <cell r="D54">
            <v>0</v>
          </cell>
          <cell r="E54">
            <v>0</v>
          </cell>
        </row>
        <row r="55">
          <cell r="B55">
            <v>2100</v>
          </cell>
          <cell r="C55" t="str">
            <v>Management Staff Salaries Account</v>
          </cell>
          <cell r="D55">
            <v>81377270.939999998</v>
          </cell>
          <cell r="E55">
            <v>81377270.939999998</v>
          </cell>
        </row>
        <row r="56">
          <cell r="B56">
            <v>2110</v>
          </cell>
          <cell r="C56" t="str">
            <v>Management Staff Allowances Account</v>
          </cell>
          <cell r="D56">
            <v>11210401.130000001</v>
          </cell>
          <cell r="E56">
            <v>11210401.130000001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3135613</v>
          </cell>
          <cell r="E57">
            <v>3135613</v>
          </cell>
        </row>
        <row r="58">
          <cell r="B58">
            <v>2200</v>
          </cell>
          <cell r="C58" t="str">
            <v>Other Staff Salaries Account</v>
          </cell>
          <cell r="D58">
            <v>88975881.090000004</v>
          </cell>
          <cell r="E58">
            <v>88975881.090000004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32431629.969999999</v>
          </cell>
          <cell r="E60">
            <v>32431629.969999999</v>
          </cell>
        </row>
        <row r="61">
          <cell r="B61">
            <v>2310</v>
          </cell>
          <cell r="C61" t="str">
            <v>Other Staff Allowances Account</v>
          </cell>
          <cell r="D61">
            <v>6999634.9699999997</v>
          </cell>
          <cell r="E61">
            <v>6999634.9699999997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0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0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0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4403923.59</v>
          </cell>
          <cell r="E70">
            <v>4403923.59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3155332.27</v>
          </cell>
          <cell r="E71">
            <v>3155332.27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133680.19</v>
          </cell>
          <cell r="E73">
            <v>133680.19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</row>
        <row r="75">
          <cell r="B75">
            <v>2520</v>
          </cell>
          <cell r="C75" t="str">
            <v>Gratuity Payment Account</v>
          </cell>
          <cell r="D75">
            <v>213547261.90000001</v>
          </cell>
          <cell r="E75">
            <v>213547261.90000001</v>
          </cell>
        </row>
        <row r="76">
          <cell r="B76">
            <v>2530</v>
          </cell>
          <cell r="C76" t="str">
            <v>Non Sick Leave Incentive Account</v>
          </cell>
          <cell r="D76">
            <v>33661.17</v>
          </cell>
          <cell r="E76">
            <v>33661.17</v>
          </cell>
        </row>
        <row r="77">
          <cell r="B77">
            <v>2540</v>
          </cell>
          <cell r="C77" t="str">
            <v>Allowances to Trainees Account</v>
          </cell>
          <cell r="D77">
            <v>2188802</v>
          </cell>
          <cell r="E77">
            <v>2188802</v>
          </cell>
        </row>
        <row r="78">
          <cell r="B78">
            <v>2550</v>
          </cell>
          <cell r="C78" t="str">
            <v>Compensation to CEB Employees Account</v>
          </cell>
          <cell r="D78">
            <v>2198015</v>
          </cell>
          <cell r="E78">
            <v>2198015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437344.94999999995</v>
          </cell>
          <cell r="E79">
            <v>437344.94999999995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327340</v>
          </cell>
          <cell r="E82">
            <v>327340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23650</v>
          </cell>
          <cell r="E83">
            <v>23650</v>
          </cell>
        </row>
        <row r="84">
          <cell r="B84">
            <v>2620</v>
          </cell>
          <cell r="C84" t="str">
            <v>Fees to Professional Institutions Account</v>
          </cell>
          <cell r="D84">
            <v>563019.42999999993</v>
          </cell>
          <cell r="E84">
            <v>563019.42999999993</v>
          </cell>
        </row>
        <row r="85">
          <cell r="B85">
            <v>2630</v>
          </cell>
          <cell r="C85" t="str">
            <v>Staff Welfare Account</v>
          </cell>
          <cell r="D85">
            <v>2228707.75</v>
          </cell>
          <cell r="E85">
            <v>2228707.75</v>
          </cell>
        </row>
        <row r="86">
          <cell r="B86">
            <v>2631</v>
          </cell>
          <cell r="C86" t="str">
            <v>Staff Welfare  - Medical Expenses Account</v>
          </cell>
          <cell r="D86">
            <v>3500</v>
          </cell>
          <cell r="E86">
            <v>3500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6220</v>
          </cell>
          <cell r="E87">
            <v>6220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337882.85</v>
          </cell>
          <cell r="E88">
            <v>337882.85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7352289.2000000002</v>
          </cell>
          <cell r="E89">
            <v>7352289.2000000002</v>
          </cell>
        </row>
        <row r="90">
          <cell r="B90">
            <v>2641</v>
          </cell>
          <cell r="C90" t="str">
            <v>Medical Expenses  - Out door Account</v>
          </cell>
          <cell r="D90">
            <v>5177830.8699999992</v>
          </cell>
          <cell r="E90">
            <v>5177830.8699999992</v>
          </cell>
        </row>
        <row r="91">
          <cell r="B91">
            <v>2650</v>
          </cell>
          <cell r="C91" t="str">
            <v>Uniforms &amp; Protective Clothing Account</v>
          </cell>
          <cell r="D91">
            <v>617771.19999999995</v>
          </cell>
          <cell r="E91">
            <v>617771.19999999995</v>
          </cell>
        </row>
        <row r="92">
          <cell r="B92">
            <v>2660</v>
          </cell>
          <cell r="C92" t="str">
            <v>Reimbursement of loan Interest Account</v>
          </cell>
          <cell r="D92">
            <v>28186926.129999995</v>
          </cell>
          <cell r="E92">
            <v>28186926.129999995</v>
          </cell>
        </row>
        <row r="93">
          <cell r="B93">
            <v>2670</v>
          </cell>
          <cell r="C93" t="str">
            <v>PAYE Tax  Account</v>
          </cell>
          <cell r="D93">
            <v>7254848.7600000007</v>
          </cell>
          <cell r="E93">
            <v>7254848.7600000007</v>
          </cell>
        </row>
        <row r="94">
          <cell r="B94">
            <v>2680</v>
          </cell>
          <cell r="C94" t="str">
            <v>CEB Pension Fund Account</v>
          </cell>
          <cell r="D94">
            <v>14259371.460000001</v>
          </cell>
          <cell r="E94">
            <v>14259371.460000001</v>
          </cell>
        </row>
        <row r="95">
          <cell r="B95">
            <v>2681</v>
          </cell>
          <cell r="C95" t="str">
            <v>Pension to EXDGEU Account</v>
          </cell>
          <cell r="D95">
            <v>6683.4</v>
          </cell>
          <cell r="E95">
            <v>6683.4</v>
          </cell>
        </row>
        <row r="96">
          <cell r="B96">
            <v>2700</v>
          </cell>
          <cell r="C96" t="str">
            <v>CEB Employee Trust Fund Account</v>
          </cell>
          <cell r="D96">
            <v>5446342.3799999999</v>
          </cell>
          <cell r="E96">
            <v>5446342.3799999999</v>
          </cell>
        </row>
        <row r="97">
          <cell r="B97">
            <v>2710</v>
          </cell>
          <cell r="C97" t="str">
            <v>CEB Provident Fund Account</v>
          </cell>
          <cell r="D97">
            <v>27189548.579999998</v>
          </cell>
          <cell r="E97">
            <v>27189548.579999998</v>
          </cell>
        </row>
        <row r="98">
          <cell r="B98">
            <v>0</v>
          </cell>
          <cell r="C98" t="str">
            <v>personel cost on pension fund</v>
          </cell>
          <cell r="D98">
            <v>0</v>
          </cell>
          <cell r="E98">
            <v>0</v>
          </cell>
        </row>
        <row r="99">
          <cell r="B99">
            <v>0</v>
          </cell>
          <cell r="C99" t="str">
            <v>PERSONNEL EXPENSES - SUB TOTAL</v>
          </cell>
          <cell r="D99">
            <v>0</v>
          </cell>
          <cell r="E99">
            <v>549210384.17999995</v>
          </cell>
        </row>
        <row r="100">
          <cell r="B100">
            <v>0</v>
          </cell>
          <cell r="C100" t="str">
            <v xml:space="preserve"> MATERIAL COST</v>
          </cell>
          <cell r="D100">
            <v>0</v>
          </cell>
          <cell r="E100">
            <v>0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0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5125</v>
          </cell>
          <cell r="E108">
            <v>5125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309388.39</v>
          </cell>
          <cell r="E109">
            <v>309388.39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0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</row>
        <row r="115">
          <cell r="B115">
            <v>3212</v>
          </cell>
          <cell r="C115" t="str">
            <v>Expenses incurred on the maintenance and hiring of Tug Boats and Barges in coal transport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3691</v>
          </cell>
          <cell r="E118">
            <v>3691</v>
          </cell>
        </row>
        <row r="119">
          <cell r="B119">
            <v>3300</v>
          </cell>
          <cell r="C119" t="str">
            <v>Loose Tools Account</v>
          </cell>
          <cell r="D119">
            <v>81808</v>
          </cell>
          <cell r="E119">
            <v>81808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0</v>
          </cell>
          <cell r="E122">
            <v>0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B125">
            <v>0</v>
          </cell>
          <cell r="C125" t="str">
            <v>MATERIAL COST - SUB TOTAL</v>
          </cell>
          <cell r="D125">
            <v>0</v>
          </cell>
          <cell r="E125">
            <v>400012.39</v>
          </cell>
        </row>
        <row r="126">
          <cell r="B126">
            <v>0</v>
          </cell>
          <cell r="C126" t="str">
            <v>ACCOMMODATION EXPENSES</v>
          </cell>
          <cell r="D126">
            <v>0</v>
          </cell>
          <cell r="E126">
            <v>0</v>
          </cell>
        </row>
        <row r="127">
          <cell r="B127">
            <v>4100</v>
          </cell>
          <cell r="C127" t="str">
            <v>Housing Rent and Rates Account</v>
          </cell>
          <cell r="D127">
            <v>50795757.710000001</v>
          </cell>
          <cell r="E127">
            <v>50795757.710000001</v>
          </cell>
        </row>
        <row r="128">
          <cell r="B128">
            <v>4110</v>
          </cell>
          <cell r="C128" t="str">
            <v>Building Maintenance Account</v>
          </cell>
          <cell r="D128">
            <v>1066755.07</v>
          </cell>
          <cell r="E128">
            <v>1066755.07</v>
          </cell>
        </row>
        <row r="129">
          <cell r="B129">
            <v>4120</v>
          </cell>
          <cell r="C129" t="str">
            <v>Circuit Bungalow Maintenance Account</v>
          </cell>
          <cell r="D129">
            <v>187245.46</v>
          </cell>
          <cell r="E129">
            <v>187245.46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1269701.04</v>
          </cell>
          <cell r="E130">
            <v>1269701.04</v>
          </cell>
        </row>
        <row r="131">
          <cell r="B131">
            <v>4300</v>
          </cell>
          <cell r="C131" t="str">
            <v>Electricity  Consumption Account</v>
          </cell>
          <cell r="D131">
            <v>23998397.510000002</v>
          </cell>
          <cell r="E131">
            <v>23998397.510000002</v>
          </cell>
        </row>
        <row r="132">
          <cell r="B132">
            <v>4400</v>
          </cell>
          <cell r="C132" t="str">
            <v>Water Supply Charges Account</v>
          </cell>
          <cell r="D132">
            <v>61432.480000000003</v>
          </cell>
          <cell r="E132">
            <v>61432.480000000003</v>
          </cell>
        </row>
        <row r="133">
          <cell r="B133">
            <v>0</v>
          </cell>
          <cell r="C133" t="str">
            <v>ACCOMMODATION EXPENSES - SUB TOTAL</v>
          </cell>
          <cell r="D133">
            <v>0</v>
          </cell>
          <cell r="E133">
            <v>77379289.270000011</v>
          </cell>
        </row>
        <row r="134">
          <cell r="B134">
            <v>0</v>
          </cell>
          <cell r="C134" t="str">
            <v>TRANSPORT &amp; COMMUNICATION EXPENSES</v>
          </cell>
          <cell r="D134">
            <v>0</v>
          </cell>
          <cell r="E134">
            <v>0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8270182.6599999992</v>
          </cell>
          <cell r="E135">
            <v>8270182.6599999992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10196768.59</v>
          </cell>
          <cell r="E137">
            <v>10196768.59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15135648.470000001</v>
          </cell>
          <cell r="E138">
            <v>15135648.470000001</v>
          </cell>
        </row>
        <row r="139">
          <cell r="B139">
            <v>5220</v>
          </cell>
          <cell r="C139" t="str">
            <v>Vehicle Hire Charges Account</v>
          </cell>
          <cell r="D139">
            <v>1354418.13</v>
          </cell>
          <cell r="E139">
            <v>1354418.13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4464754.3699999992</v>
          </cell>
          <cell r="E141">
            <v>4464754.3699999992</v>
          </cell>
        </row>
        <row r="142">
          <cell r="B142">
            <v>5310</v>
          </cell>
          <cell r="C142" t="str">
            <v>Postage Account</v>
          </cell>
          <cell r="D142">
            <v>949442</v>
          </cell>
          <cell r="E142">
            <v>949442</v>
          </cell>
        </row>
        <row r="143">
          <cell r="B143">
            <v>5320</v>
          </cell>
          <cell r="C143" t="str">
            <v>Telecommunications Account</v>
          </cell>
          <cell r="D143">
            <v>13964898.359999999</v>
          </cell>
          <cell r="E143">
            <v>13964898.359999999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 (VPNs, Leased Lines etc)</v>
          </cell>
          <cell r="D145">
            <v>0</v>
          </cell>
          <cell r="E145">
            <v>0</v>
          </cell>
        </row>
        <row r="146">
          <cell r="B146">
            <v>5323</v>
          </cell>
          <cell r="C146" t="str">
            <v>Expenses on purchase / renewal of software licenses (such as e-mail, Citrix, informix, Uniface user accounts etc.)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Information Technology (IT) related hardware (such as watch guard router, billing srvers, computers, printers, UPS, call center equipments etc.)</v>
          </cell>
          <cell r="D147">
            <v>0</v>
          </cell>
          <cell r="E147">
            <v>0</v>
          </cell>
        </row>
        <row r="148">
          <cell r="B148">
            <v>0</v>
          </cell>
          <cell r="C148" t="str">
            <v>TRANSPORT &amp; COMMUNICATION EXP. - SUB TOTAL</v>
          </cell>
          <cell r="D148">
            <v>0</v>
          </cell>
          <cell r="E148">
            <v>54336112.579999998</v>
          </cell>
        </row>
        <row r="149">
          <cell r="B149">
            <v>0</v>
          </cell>
          <cell r="C149" t="str">
            <v xml:space="preserve"> DEPRECIATION</v>
          </cell>
          <cell r="D149">
            <v>0</v>
          </cell>
          <cell r="E149">
            <v>0</v>
          </cell>
        </row>
        <row r="150">
          <cell r="B150">
            <v>6000</v>
          </cell>
          <cell r="C150" t="str">
            <v>Depreciation Account</v>
          </cell>
          <cell r="D150">
            <v>46107345.189999998</v>
          </cell>
          <cell r="E150">
            <v>46107345.189999998</v>
          </cell>
        </row>
        <row r="151">
          <cell r="B151">
            <v>0</v>
          </cell>
          <cell r="C151" t="str">
            <v>DEPRECIATION - SUB TOTAL</v>
          </cell>
          <cell r="D151">
            <v>0</v>
          </cell>
          <cell r="E151">
            <v>46107345.189999998</v>
          </cell>
        </row>
        <row r="152">
          <cell r="B152">
            <v>0</v>
          </cell>
          <cell r="C152" t="str">
            <v xml:space="preserve"> OTHER EXPENSES</v>
          </cell>
          <cell r="D152">
            <v>0</v>
          </cell>
          <cell r="E152">
            <v>0</v>
          </cell>
        </row>
        <row r="153">
          <cell r="B153">
            <v>7100</v>
          </cell>
          <cell r="C153" t="str">
            <v>Hire and Lease Charges Account</v>
          </cell>
          <cell r="D153">
            <v>134400</v>
          </cell>
          <cell r="E153">
            <v>134400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5139318.5200000005</v>
          </cell>
          <cell r="E154">
            <v>5139318.5200000005</v>
          </cell>
        </row>
        <row r="155">
          <cell r="B155">
            <v>7211</v>
          </cell>
          <cell r="C155" t="str">
            <v>Payment to Manpower Agencies Account</v>
          </cell>
          <cell r="D155">
            <v>2763763.22</v>
          </cell>
          <cell r="E155">
            <v>2763763.22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3970728</v>
          </cell>
          <cell r="E160">
            <v>3970728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766933</v>
          </cell>
          <cell r="E163">
            <v>766933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793218.7</v>
          </cell>
          <cell r="E165">
            <v>793218.7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73238233.469999999</v>
          </cell>
          <cell r="E168">
            <v>73238233.469999999</v>
          </cell>
        </row>
        <row r="169">
          <cell r="B169">
            <v>7501</v>
          </cell>
          <cell r="C169" t="str">
            <v>Energy Saving\Conservation Account</v>
          </cell>
          <cell r="D169">
            <v>11500</v>
          </cell>
          <cell r="E169">
            <v>11500</v>
          </cell>
        </row>
        <row r="170">
          <cell r="B170">
            <v>7510</v>
          </cell>
          <cell r="C170" t="str">
            <v>Entertainment Account</v>
          </cell>
          <cell r="D170">
            <v>1893427.11</v>
          </cell>
          <cell r="E170">
            <v>1893427.11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2541228.17</v>
          </cell>
          <cell r="E172">
            <v>2541228.17</v>
          </cell>
        </row>
        <row r="173">
          <cell r="B173">
            <v>7600</v>
          </cell>
          <cell r="C173" t="str">
            <v>Insurance Premiums Account</v>
          </cell>
          <cell r="D173">
            <v>13605.99</v>
          </cell>
          <cell r="E173">
            <v>13605.99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96163856.659999996</v>
          </cell>
          <cell r="E179">
            <v>96163856.659999996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1033600.5499999999</v>
          </cell>
          <cell r="E182">
            <v>1033600.5499999999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525583.6</v>
          </cell>
          <cell r="E184">
            <v>525583.6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 xml:space="preserve">Payment to resource persons and expenses related to refreshment,stationary etc </v>
          </cell>
          <cell r="D191">
            <v>58628</v>
          </cell>
          <cell r="E191">
            <v>58628</v>
          </cell>
        </row>
        <row r="192">
          <cell r="B192">
            <v>0</v>
          </cell>
          <cell r="C192" t="str">
            <v>OTHER EXPENSES - SUB TOTAL</v>
          </cell>
          <cell r="D192">
            <v>0</v>
          </cell>
          <cell r="E192">
            <v>189048024.98999998</v>
          </cell>
        </row>
        <row r="193">
          <cell r="B193">
            <v>0</v>
          </cell>
          <cell r="C193" t="str">
            <v>FINANCE COST</v>
          </cell>
          <cell r="D193">
            <v>0</v>
          </cell>
          <cell r="E193">
            <v>0</v>
          </cell>
        </row>
        <row r="194">
          <cell r="B194">
            <v>8100</v>
          </cell>
          <cell r="C194" t="str">
            <v>Overdraft  Interest Account</v>
          </cell>
          <cell r="D194">
            <v>216808771.53999999</v>
          </cell>
          <cell r="E194">
            <v>216808771.53999999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3989814740.02</v>
          </cell>
          <cell r="E195">
            <v>3989814740.02</v>
          </cell>
        </row>
        <row r="196">
          <cell r="B196">
            <v>8200</v>
          </cell>
          <cell r="C196" t="str">
            <v>Bank Charges Account</v>
          </cell>
          <cell r="D196">
            <v>38081489.759999998</v>
          </cell>
          <cell r="E196">
            <v>38081489.759999998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7088279.3200000003</v>
          </cell>
          <cell r="E198">
            <v>7088279.3200000003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6276060.5199999996</v>
          </cell>
          <cell r="E200">
            <v>6276060.5199999996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3442225</v>
          </cell>
          <cell r="E203">
            <v>3442225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</row>
        <row r="208">
          <cell r="B208">
            <v>9300</v>
          </cell>
          <cell r="C208" t="str">
            <v>Deferred tax expense/( income )</v>
          </cell>
          <cell r="D208">
            <v>0</v>
          </cell>
          <cell r="E208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9">
          <cell r="B9">
            <v>1100</v>
          </cell>
        </row>
      </sheetData>
      <sheetData sheetId="52">
        <row r="9">
          <cell r="B9">
            <v>1100</v>
          </cell>
        </row>
      </sheetData>
      <sheetData sheetId="53"/>
      <sheetData sheetId="54"/>
      <sheetData sheetId="55"/>
      <sheetData sheetId="56"/>
      <sheetData sheetId="57"/>
      <sheetData sheetId="58">
        <row r="9">
          <cell r="B9">
            <v>1100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9">
          <cell r="B9">
            <v>1100</v>
          </cell>
        </row>
      </sheetData>
      <sheetData sheetId="77">
        <row r="9">
          <cell r="B9">
            <v>1100</v>
          </cell>
        </row>
      </sheetData>
      <sheetData sheetId="78"/>
      <sheetData sheetId="79"/>
      <sheetData sheetId="80"/>
      <sheetData sheetId="81"/>
      <sheetData sheetId="82"/>
      <sheetData sheetId="83">
        <row r="9">
          <cell r="B9">
            <v>1100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9">
          <cell r="B9">
            <v>1100</v>
          </cell>
        </row>
      </sheetData>
      <sheetData sheetId="102">
        <row r="9">
          <cell r="B9">
            <v>1100</v>
          </cell>
        </row>
      </sheetData>
      <sheetData sheetId="103"/>
      <sheetData sheetId="104"/>
      <sheetData sheetId="105"/>
      <sheetData sheetId="106"/>
      <sheetData sheetId="107"/>
      <sheetData sheetId="108">
        <row r="9">
          <cell r="B9">
            <v>1100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Financial statements"/>
      <sheetName val="Adjust FCF"/>
      <sheetName val="Revenue Projection"/>
      <sheetName val="Capex"/>
      <sheetName val="WC"/>
      <sheetName val="Cash Tax"/>
      <sheetName val="Drivers"/>
      <sheetName val="Valuation"/>
      <sheetName val="Terminal value"/>
      <sheetName val="Sensitivity"/>
      <sheetName val="ISO"/>
      <sheetName val="Threshold"/>
      <sheetName val="Presentation 1"/>
      <sheetName val="Summary"/>
      <sheetName val="Blank sheet"/>
      <sheetName val="Guidance notes"/>
      <sheetName val="Match"/>
      <sheetName val="Ex 3"/>
    </sheetNames>
    <sheetDataSet>
      <sheetData sheetId="0">
        <row r="2">
          <cell r="N2" t="str">
            <v>Draft for discussion: 4th March, 2005 at 4:11 PM</v>
          </cell>
        </row>
        <row r="4">
          <cell r="C4" t="str">
            <v>Project Erdemir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39">
          <cell r="D39">
            <v>2014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 (2)"/>
      <sheetName val="Deference"/>
      <sheetName val="P&amp;L Presentation Format"/>
      <sheetName val="P&amp;L"/>
      <sheetName val="B.S "/>
      <sheetName val="CF Print"/>
      <sheetName val="P&amp;L Notes"/>
      <sheetName val="PPEnew"/>
      <sheetName val="B.S Notes"/>
      <sheetName val="Sheet3"/>
      <sheetName val="CURRENT ACCOUNT"/>
      <sheetName val="Cu AC "/>
      <sheetName val="TB"/>
      <sheetName val=" TB  520"/>
      <sheetName val=" TB 520.20"/>
      <sheetName val=" TB 520.30"/>
      <sheetName val=" TB 520.11"/>
      <sheetName val=" TB 521"/>
      <sheetName val=" TB 522"/>
      <sheetName val=" TB 523"/>
      <sheetName val=" TB 524"/>
      <sheetName val=" TB 525 "/>
      <sheetName val=" TB 526"/>
      <sheetName val=" TB 520.70"/>
      <sheetName val=" TB 527"/>
      <sheetName val="CS"/>
      <sheetName val=" CS 520 "/>
      <sheetName val=" CS 520.20"/>
      <sheetName val=" CS 520.30"/>
      <sheetName val=" CS 520.11"/>
      <sheetName val=" CS 521"/>
      <sheetName val=" CS 522"/>
      <sheetName val=" CS 523"/>
      <sheetName val="CS 524"/>
      <sheetName val=" CS 525"/>
      <sheetName val=" CS 526"/>
      <sheetName val=" CS 520.70"/>
      <sheetName val=" CS 527"/>
      <sheetName val="WIP SUM"/>
      <sheetName val="WIP AGE"/>
      <sheetName val="DR CSW"/>
      <sheetName val="AGE DR "/>
      <sheetName val="CR CSW"/>
      <sheetName val="AGE CR "/>
      <sheetName val="WIP"/>
      <sheetName val="WIPAGE"/>
      <sheetName val="WIP REC"/>
      <sheetName val="WIP REC(Sum)"/>
      <sheetName val="STOCK ST REPORT"/>
      <sheetName val="STK ADJ"/>
      <sheetName val="Cost Sheet (B Vs. A)"/>
      <sheetName val="TBSP"/>
      <sheetName val="A3800"/>
      <sheetName val="L9200L5610"/>
      <sheetName val="wip addition"/>
      <sheetName val="Transfer Out"/>
      <sheetName val="Sam"/>
      <sheetName val="Char"/>
      <sheetName val="Sheet1"/>
      <sheetName val="Sheet2"/>
      <sheetName val="Compatibility Report"/>
      <sheetName val="Stock Data"/>
      <sheetName val="Energy Cost"/>
      <sheetName val="Budget"/>
      <sheetName val="Sheet4"/>
    </sheetNames>
    <sheetDataSet>
      <sheetData sheetId="0" refreshError="1"/>
      <sheetData sheetId="1" refreshError="1"/>
      <sheetData sheetId="2">
        <row r="13">
          <cell r="D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0">
          <cell r="O20">
            <v>-863190777.39693642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9">
          <cell r="B9">
            <v>1100</v>
          </cell>
        </row>
      </sheetData>
      <sheetData sheetId="27">
        <row r="9">
          <cell r="B9">
            <v>1100</v>
          </cell>
        </row>
      </sheetData>
      <sheetData sheetId="28">
        <row r="9">
          <cell r="B9">
            <v>1100</v>
          </cell>
        </row>
      </sheetData>
      <sheetData sheetId="29">
        <row r="9">
          <cell r="B9">
            <v>1100</v>
          </cell>
        </row>
      </sheetData>
      <sheetData sheetId="30">
        <row r="9">
          <cell r="B9">
            <v>1100</v>
          </cell>
        </row>
      </sheetData>
      <sheetData sheetId="31">
        <row r="9">
          <cell r="B9">
            <v>1100</v>
          </cell>
        </row>
      </sheetData>
      <sheetData sheetId="32">
        <row r="9">
          <cell r="B9">
            <v>1100</v>
          </cell>
        </row>
      </sheetData>
      <sheetData sheetId="33">
        <row r="9">
          <cell r="B9">
            <v>1100</v>
          </cell>
        </row>
      </sheetData>
      <sheetData sheetId="34">
        <row r="9">
          <cell r="B9">
            <v>1100</v>
          </cell>
        </row>
      </sheetData>
      <sheetData sheetId="35">
        <row r="9">
          <cell r="B9">
            <v>1100</v>
          </cell>
        </row>
      </sheetData>
      <sheetData sheetId="36">
        <row r="9">
          <cell r="B9">
            <v>1100</v>
          </cell>
        </row>
      </sheetData>
      <sheetData sheetId="37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0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0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0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</row>
        <row r="16">
          <cell r="B16">
            <v>0</v>
          </cell>
          <cell r="C16" t="str">
            <v>SUB TOTAL OF TURNOVER</v>
          </cell>
          <cell r="D16">
            <v>0</v>
          </cell>
          <cell r="E16">
            <v>0</v>
          </cell>
        </row>
        <row r="17">
          <cell r="B17">
            <v>0</v>
          </cell>
          <cell r="C17" t="str">
            <v xml:space="preserve"> INTEREST INCOME</v>
          </cell>
          <cell r="D17">
            <v>0</v>
          </cell>
          <cell r="E17">
            <v>0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0</v>
          </cell>
          <cell r="E19">
            <v>0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B21">
            <v>0</v>
          </cell>
          <cell r="C21" t="str">
            <v>SUB TOTAL OF INTEREST INCOME</v>
          </cell>
          <cell r="D21">
            <v>0</v>
          </cell>
          <cell r="E21">
            <v>0</v>
          </cell>
        </row>
        <row r="22">
          <cell r="B22">
            <v>0</v>
          </cell>
          <cell r="C22" t="str">
            <v>DIVIDEND INCOME</v>
          </cell>
          <cell r="D22">
            <v>0</v>
          </cell>
          <cell r="E22">
            <v>0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</row>
        <row r="24">
          <cell r="B24">
            <v>0</v>
          </cell>
          <cell r="C24" t="str">
            <v>SUB TOTAL OF DIVIDEND INCOME</v>
          </cell>
          <cell r="D24">
            <v>0</v>
          </cell>
          <cell r="E24">
            <v>0</v>
          </cell>
        </row>
        <row r="25">
          <cell r="B25">
            <v>0</v>
          </cell>
          <cell r="C25" t="str">
            <v xml:space="preserve"> OVERHEAD RECOVERIES</v>
          </cell>
          <cell r="D25">
            <v>0</v>
          </cell>
          <cell r="E25">
            <v>0</v>
          </cell>
        </row>
        <row r="26">
          <cell r="B26">
            <v>1330</v>
          </cell>
          <cell r="C26" t="str">
            <v>Overhead Recoveries Account</v>
          </cell>
          <cell r="D26">
            <v>0</v>
          </cell>
          <cell r="E26">
            <v>0</v>
          </cell>
        </row>
        <row r="27">
          <cell r="B27">
            <v>1510</v>
          </cell>
          <cell r="C27" t="str">
            <v>Recoveries on House Rent Account</v>
          </cell>
          <cell r="D27">
            <v>0</v>
          </cell>
          <cell r="E27">
            <v>0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</row>
        <row r="32">
          <cell r="B32">
            <v>0</v>
          </cell>
          <cell r="C32" t="str">
            <v>SUB TOTAL OF OVERHEAD RECOVERIES</v>
          </cell>
          <cell r="D32">
            <v>0</v>
          </cell>
          <cell r="E32">
            <v>0</v>
          </cell>
        </row>
        <row r="33">
          <cell r="B33">
            <v>0</v>
          </cell>
          <cell r="C33" t="str">
            <v xml:space="preserve"> PROFIT / LOSS ON DISPOSAl OF PPE</v>
          </cell>
          <cell r="D33">
            <v>0</v>
          </cell>
          <cell r="E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</row>
        <row r="36">
          <cell r="B36">
            <v>0</v>
          </cell>
          <cell r="C36" t="str">
            <v>SUB TOTAL OF PROFIT / LOSS ON DISPOSAl OF PPE</v>
          </cell>
          <cell r="D36">
            <v>0</v>
          </cell>
          <cell r="E36">
            <v>0</v>
          </cell>
        </row>
        <row r="37">
          <cell r="B37">
            <v>0</v>
          </cell>
          <cell r="C37" t="str">
            <v xml:space="preserve"> MISSELANIOUS INCOME</v>
          </cell>
          <cell r="D37">
            <v>0</v>
          </cell>
          <cell r="E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</row>
        <row r="39">
          <cell r="B39">
            <v>1300</v>
          </cell>
          <cell r="C39" t="str">
            <v>Miscellaneous Income Account</v>
          </cell>
          <cell r="D39">
            <v>0</v>
          </cell>
          <cell r="E39">
            <v>0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</row>
        <row r="43">
          <cell r="B43">
            <v>1320</v>
          </cell>
          <cell r="C43" t="str">
            <v>Re-usable Material Account</v>
          </cell>
          <cell r="D43">
            <v>0</v>
          </cell>
          <cell r="E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0</v>
          </cell>
          <cell r="E45">
            <v>0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0</v>
          </cell>
          <cell r="E46">
            <v>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</row>
        <row r="49">
          <cell r="B49">
            <v>1380</v>
          </cell>
          <cell r="C49" t="str">
            <v>Service Main Application Fee Account</v>
          </cell>
          <cell r="D49">
            <v>1250</v>
          </cell>
          <cell r="E49">
            <v>1250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B52">
            <v>0</v>
          </cell>
          <cell r="C52" t="str">
            <v>SUB TOTAL OF MISSELANIOUS INCOME</v>
          </cell>
          <cell r="D52">
            <v>1250</v>
          </cell>
          <cell r="E52">
            <v>1250</v>
          </cell>
        </row>
        <row r="53">
          <cell r="B53">
            <v>0</v>
          </cell>
          <cell r="C53" t="str">
            <v>TOTAL INCOME</v>
          </cell>
          <cell r="D53">
            <v>1250</v>
          </cell>
          <cell r="E53">
            <v>1250</v>
          </cell>
        </row>
        <row r="54">
          <cell r="B54">
            <v>0</v>
          </cell>
          <cell r="C54" t="str">
            <v xml:space="preserve"> PERSONNEL EXPENSES</v>
          </cell>
          <cell r="D54">
            <v>0</v>
          </cell>
          <cell r="E54">
            <v>0</v>
          </cell>
        </row>
        <row r="55">
          <cell r="B55">
            <v>2100</v>
          </cell>
          <cell r="C55" t="str">
            <v>Management Staff Salaries Account</v>
          </cell>
          <cell r="D55">
            <v>0</v>
          </cell>
          <cell r="E55">
            <v>0</v>
          </cell>
        </row>
        <row r="56">
          <cell r="B56">
            <v>2110</v>
          </cell>
          <cell r="C56" t="str">
            <v>Management Staff Allowances Account</v>
          </cell>
          <cell r="D56">
            <v>0</v>
          </cell>
          <cell r="E56">
            <v>0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0</v>
          </cell>
          <cell r="E58">
            <v>0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0</v>
          </cell>
          <cell r="E60">
            <v>0</v>
          </cell>
        </row>
        <row r="61">
          <cell r="B61">
            <v>2310</v>
          </cell>
          <cell r="C61" t="str">
            <v>Other Staff Allowances Account</v>
          </cell>
          <cell r="D61">
            <v>0</v>
          </cell>
          <cell r="E61">
            <v>0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0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0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0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0</v>
          </cell>
          <cell r="E70">
            <v>0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0</v>
          </cell>
          <cell r="E71">
            <v>0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0</v>
          </cell>
          <cell r="E73">
            <v>0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0</v>
          </cell>
          <cell r="E76">
            <v>0</v>
          </cell>
        </row>
        <row r="77">
          <cell r="B77">
            <v>2540</v>
          </cell>
          <cell r="C77" t="str">
            <v>Allowances to Trainees Account</v>
          </cell>
          <cell r="D77">
            <v>99175</v>
          </cell>
          <cell r="E77">
            <v>99175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0</v>
          </cell>
          <cell r="E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0</v>
          </cell>
          <cell r="E82">
            <v>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0</v>
          </cell>
          <cell r="E84">
            <v>0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0</v>
          </cell>
          <cell r="E87">
            <v>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52785</v>
          </cell>
          <cell r="E89">
            <v>52785</v>
          </cell>
        </row>
        <row r="90">
          <cell r="B90">
            <v>2641</v>
          </cell>
          <cell r="C90" t="str">
            <v>Medical Expenses  - Out door Account</v>
          </cell>
          <cell r="D90">
            <v>28782</v>
          </cell>
          <cell r="E90">
            <v>28782</v>
          </cell>
        </row>
        <row r="91">
          <cell r="B91">
            <v>2650</v>
          </cell>
          <cell r="C91" t="str">
            <v>Uniforms &amp; Protective Clothing Account</v>
          </cell>
          <cell r="D91">
            <v>0</v>
          </cell>
          <cell r="E91">
            <v>0</v>
          </cell>
        </row>
        <row r="92">
          <cell r="B92">
            <v>2660</v>
          </cell>
          <cell r="C92" t="str">
            <v>Reimbursement of loan Interest Account</v>
          </cell>
          <cell r="D92">
            <v>0</v>
          </cell>
          <cell r="E92">
            <v>0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0</v>
          </cell>
        </row>
        <row r="94">
          <cell r="B94">
            <v>2680</v>
          </cell>
          <cell r="C94" t="str">
            <v>CEB Pension Fund Account</v>
          </cell>
          <cell r="D94">
            <v>0</v>
          </cell>
          <cell r="E94">
            <v>0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0</v>
          </cell>
          <cell r="E96">
            <v>0</v>
          </cell>
        </row>
        <row r="97">
          <cell r="B97">
            <v>2710</v>
          </cell>
          <cell r="C97" t="str">
            <v>CEB Provident Fund Account</v>
          </cell>
          <cell r="D97">
            <v>0</v>
          </cell>
          <cell r="E97">
            <v>0</v>
          </cell>
        </row>
        <row r="98">
          <cell r="B98">
            <v>0</v>
          </cell>
          <cell r="C98" t="str">
            <v>personel cost on pension fund</v>
          </cell>
          <cell r="D98">
            <v>0</v>
          </cell>
          <cell r="E98">
            <v>0</v>
          </cell>
        </row>
        <row r="99">
          <cell r="B99">
            <v>0</v>
          </cell>
          <cell r="C99" t="str">
            <v>PERSONNEL EXPENSES - SUB TOTAL</v>
          </cell>
          <cell r="D99">
            <v>180742</v>
          </cell>
          <cell r="E99">
            <v>180742</v>
          </cell>
        </row>
        <row r="100">
          <cell r="B100">
            <v>0</v>
          </cell>
          <cell r="C100" t="str">
            <v xml:space="preserve"> MATERIAL COST</v>
          </cell>
          <cell r="D100">
            <v>0</v>
          </cell>
          <cell r="E100">
            <v>0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0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0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</row>
        <row r="115">
          <cell r="B115">
            <v>3212</v>
          </cell>
          <cell r="C115" t="str">
            <v>Expenses on Tug Boats and Barges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0</v>
          </cell>
        </row>
        <row r="119">
          <cell r="B119">
            <v>3300</v>
          </cell>
          <cell r="C119" t="str">
            <v>Loose Tools Account</v>
          </cell>
          <cell r="D119">
            <v>250</v>
          </cell>
          <cell r="E119">
            <v>250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0</v>
          </cell>
          <cell r="E122">
            <v>0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B125">
            <v>0</v>
          </cell>
          <cell r="C125" t="str">
            <v>MATERIAL COST - SUB TOTAL</v>
          </cell>
          <cell r="D125">
            <v>250</v>
          </cell>
          <cell r="E125">
            <v>250</v>
          </cell>
        </row>
        <row r="126">
          <cell r="B126">
            <v>0</v>
          </cell>
          <cell r="C126" t="str">
            <v>ACCOMMODATION EXPENSES</v>
          </cell>
          <cell r="D126">
            <v>0</v>
          </cell>
          <cell r="E126">
            <v>0</v>
          </cell>
        </row>
        <row r="127">
          <cell r="B127">
            <v>4100</v>
          </cell>
          <cell r="C127" t="str">
            <v>Housing Rent and Rates Account</v>
          </cell>
          <cell r="D127">
            <v>426300</v>
          </cell>
          <cell r="E127">
            <v>426300</v>
          </cell>
        </row>
        <row r="128">
          <cell r="B128">
            <v>4110</v>
          </cell>
          <cell r="C128" t="str">
            <v>Building Maintenance Account</v>
          </cell>
          <cell r="D128">
            <v>175758.1</v>
          </cell>
          <cell r="E128">
            <v>175758.1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364138.2</v>
          </cell>
          <cell r="E130">
            <v>364138.2</v>
          </cell>
        </row>
        <row r="131">
          <cell r="B131">
            <v>4300</v>
          </cell>
          <cell r="C131" t="str">
            <v>Electricity  Consumption Account</v>
          </cell>
          <cell r="D131">
            <v>26331.27</v>
          </cell>
          <cell r="E131">
            <v>26331.27</v>
          </cell>
        </row>
        <row r="132">
          <cell r="B132">
            <v>4400</v>
          </cell>
          <cell r="C132" t="str">
            <v>Water Supply Charges Account</v>
          </cell>
          <cell r="D132">
            <v>18679.599999999999</v>
          </cell>
          <cell r="E132">
            <v>18679.599999999999</v>
          </cell>
        </row>
        <row r="133">
          <cell r="B133">
            <v>0</v>
          </cell>
          <cell r="C133" t="str">
            <v>ACCOMMODATION EXPENSES - SUB TOTAL</v>
          </cell>
          <cell r="D133">
            <v>1011207.17</v>
          </cell>
          <cell r="E133">
            <v>1011207.17</v>
          </cell>
        </row>
        <row r="134">
          <cell r="B134">
            <v>0</v>
          </cell>
          <cell r="C134" t="str">
            <v>TRANSPORT &amp; COMMUNICATION EXPENSES</v>
          </cell>
          <cell r="D134">
            <v>0</v>
          </cell>
          <cell r="E134">
            <v>0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40535</v>
          </cell>
          <cell r="E135">
            <v>40535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173105</v>
          </cell>
          <cell r="E137">
            <v>173105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152312.20000000001</v>
          </cell>
          <cell r="E138">
            <v>152312.20000000001</v>
          </cell>
        </row>
        <row r="139">
          <cell r="B139">
            <v>5220</v>
          </cell>
          <cell r="C139" t="str">
            <v>Vehicle Hire Charges Account</v>
          </cell>
          <cell r="D139">
            <v>0</v>
          </cell>
          <cell r="E139">
            <v>0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166048.70000000001</v>
          </cell>
          <cell r="E141">
            <v>166048.70000000001</v>
          </cell>
        </row>
        <row r="142">
          <cell r="B142">
            <v>5310</v>
          </cell>
          <cell r="C142" t="str">
            <v>Postage Account</v>
          </cell>
          <cell r="D142">
            <v>4800</v>
          </cell>
          <cell r="E142">
            <v>4800</v>
          </cell>
        </row>
        <row r="143">
          <cell r="B143">
            <v>5320</v>
          </cell>
          <cell r="C143" t="str">
            <v>Telecommunications Account</v>
          </cell>
          <cell r="D143">
            <v>40861.629999999997</v>
          </cell>
          <cell r="E143">
            <v>40861.629999999997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</v>
          </cell>
          <cell r="D145">
            <v>0</v>
          </cell>
          <cell r="E145">
            <v>0</v>
          </cell>
        </row>
        <row r="146">
          <cell r="B146">
            <v>5323</v>
          </cell>
          <cell r="C146" t="str">
            <v>Expenses on Software licenses and  maintenance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D147">
            <v>0</v>
          </cell>
          <cell r="E147">
            <v>0</v>
          </cell>
        </row>
        <row r="148">
          <cell r="B148">
            <v>0</v>
          </cell>
          <cell r="C148" t="str">
            <v>TRANSPORT &amp; COMMUNICATION EXP. - SUB TOTAL</v>
          </cell>
          <cell r="D148">
            <v>577662.53</v>
          </cell>
          <cell r="E148">
            <v>577662.53</v>
          </cell>
        </row>
        <row r="149">
          <cell r="B149">
            <v>0</v>
          </cell>
          <cell r="C149" t="str">
            <v xml:space="preserve"> DEPRECIATION</v>
          </cell>
          <cell r="D149">
            <v>0</v>
          </cell>
          <cell r="E149">
            <v>0</v>
          </cell>
        </row>
        <row r="150">
          <cell r="B150">
            <v>6000</v>
          </cell>
          <cell r="C150" t="str">
            <v>Depreciation Account</v>
          </cell>
          <cell r="D150">
            <v>0</v>
          </cell>
          <cell r="E150">
            <v>0</v>
          </cell>
        </row>
        <row r="151">
          <cell r="B151">
            <v>0</v>
          </cell>
          <cell r="C151" t="str">
            <v>DEPRECIATION - SUB TOTAL</v>
          </cell>
          <cell r="D151">
            <v>0</v>
          </cell>
          <cell r="E151">
            <v>0</v>
          </cell>
        </row>
        <row r="152">
          <cell r="B152">
            <v>0</v>
          </cell>
          <cell r="C152" t="str">
            <v xml:space="preserve"> OTHER EXPENSES</v>
          </cell>
          <cell r="D152">
            <v>0</v>
          </cell>
          <cell r="E152">
            <v>0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0</v>
          </cell>
          <cell r="E154">
            <v>0</v>
          </cell>
        </row>
        <row r="155">
          <cell r="B155">
            <v>7211</v>
          </cell>
          <cell r="C155" t="str">
            <v>Payment to Manpower Agencies Account</v>
          </cell>
          <cell r="D155">
            <v>0</v>
          </cell>
          <cell r="E155">
            <v>0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0</v>
          </cell>
          <cell r="E168">
            <v>0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</row>
        <row r="170">
          <cell r="B170">
            <v>7510</v>
          </cell>
          <cell r="C170" t="str">
            <v>Entertainment Account</v>
          </cell>
          <cell r="D170">
            <v>2850</v>
          </cell>
          <cell r="E170">
            <v>2850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23280</v>
          </cell>
          <cell r="E172">
            <v>23280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25000</v>
          </cell>
          <cell r="E176">
            <v>25000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625</v>
          </cell>
          <cell r="E182">
            <v>625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50000</v>
          </cell>
          <cell r="E184">
            <v>50000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>Expenses on Cost Recovery Traning</v>
          </cell>
          <cell r="D191">
            <v>0</v>
          </cell>
          <cell r="E191">
            <v>0</v>
          </cell>
        </row>
        <row r="192">
          <cell r="B192">
            <v>0</v>
          </cell>
          <cell r="C192" t="str">
            <v>OTHER EXPENSES - SUB TOTAL</v>
          </cell>
          <cell r="D192">
            <v>101755</v>
          </cell>
          <cell r="E192">
            <v>101755</v>
          </cell>
        </row>
        <row r="193">
          <cell r="B193">
            <v>0</v>
          </cell>
          <cell r="C193" t="str">
            <v>FINANCE COST</v>
          </cell>
          <cell r="D193">
            <v>0</v>
          </cell>
          <cell r="E193">
            <v>0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1714.2</v>
          </cell>
          <cell r="E196">
            <v>1714.2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</row>
        <row r="208">
          <cell r="B208">
            <v>9300</v>
          </cell>
          <cell r="C208" t="str">
            <v>Deferred Tax Expense / (Income) - Net</v>
          </cell>
          <cell r="D208">
            <v>0</v>
          </cell>
          <cell r="E208">
            <v>0</v>
          </cell>
        </row>
        <row r="209">
          <cell r="B209">
            <v>0</v>
          </cell>
          <cell r="C209" t="str">
            <v>FINANCE COST - SUB TOTAL</v>
          </cell>
          <cell r="D209">
            <v>1714.2</v>
          </cell>
          <cell r="E209">
            <v>1714.2</v>
          </cell>
        </row>
      </sheetData>
      <sheetData sheetId="38">
        <row r="90">
          <cell r="C90">
            <v>0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27">
          <cell r="BL27">
            <v>0</v>
          </cell>
        </row>
      </sheetData>
      <sheetData sheetId="55">
        <row r="27">
          <cell r="BL27">
            <v>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Match"/>
      <sheetName val="Match Text Num"/>
      <sheetName val="Index Match"/>
      <sheetName val="Ex 2"/>
      <sheetName val="Ex 3"/>
      <sheetName val="Ex 4"/>
      <sheetName val="Sheet1"/>
      <sheetName val="MyLinks"/>
    </sheetNames>
    <sheetDataSet>
      <sheetData sheetId="0"/>
      <sheetData sheetId="1">
        <row r="2">
          <cell r="A2" t="str">
            <v>Sweater</v>
          </cell>
        </row>
        <row r="3">
          <cell r="A3" t="str">
            <v>Jacket</v>
          </cell>
        </row>
        <row r="4">
          <cell r="A4" t="str">
            <v>Pants</v>
          </cell>
        </row>
      </sheetData>
      <sheetData sheetId="2"/>
      <sheetData sheetId="3"/>
      <sheetData sheetId="4"/>
      <sheetData sheetId="5">
        <row r="1">
          <cell r="B1" t="str">
            <v>Small</v>
          </cell>
          <cell r="C1" t="str">
            <v>Med</v>
          </cell>
          <cell r="D1" t="str">
            <v>Large</v>
          </cell>
        </row>
        <row r="2">
          <cell r="A2" t="str">
            <v>Sweater</v>
          </cell>
          <cell r="B2">
            <v>10</v>
          </cell>
          <cell r="C2">
            <v>12</v>
          </cell>
          <cell r="D2">
            <v>15</v>
          </cell>
        </row>
        <row r="3">
          <cell r="A3" t="str">
            <v>Jacket</v>
          </cell>
          <cell r="B3">
            <v>30</v>
          </cell>
          <cell r="C3">
            <v>35</v>
          </cell>
          <cell r="D3">
            <v>40</v>
          </cell>
        </row>
        <row r="4">
          <cell r="A4" t="str">
            <v>Pants</v>
          </cell>
          <cell r="B4">
            <v>25</v>
          </cell>
          <cell r="C4">
            <v>30</v>
          </cell>
          <cell r="D4">
            <v>35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erence"/>
      <sheetName val="MGS"/>
      <sheetName val="Sheet6"/>
      <sheetName val="CF Print (2)"/>
      <sheetName val="CONSOLIDATED TB"/>
      <sheetName val="CONSOLIDATED CS"/>
      <sheetName val="Annex 04"/>
      <sheetName val="Annex 05"/>
      <sheetName val="Annex 06"/>
      <sheetName val="Annex 07"/>
      <sheetName val="Annex 08"/>
      <sheetName val="Annex 09.1(a)"/>
      <sheetName val="Annex 09.1(b)"/>
      <sheetName val="PPE new "/>
      <sheetName val="Annex 09.3"/>
      <sheetName val="Annex 09.3 a"/>
      <sheetName val="10.4"/>
      <sheetName val="P&amp;L Presentation Format"/>
      <sheetName val="P&amp;l "/>
      <sheetName val="B.S "/>
      <sheetName val="B.S Notes"/>
      <sheetName val="CS W&amp;AS"/>
      <sheetName val="TB-W&amp;AS "/>
      <sheetName val="P&amp;L Notes"/>
      <sheetName val="CF Print"/>
      <sheetName val="PPEnew"/>
      <sheetName val="Cu AC "/>
      <sheetName val="TB-960"/>
      <sheetName val="CS  -960"/>
      <sheetName val="TB -PMU"/>
      <sheetName val="TB NORTH WESTERN"/>
      <sheetName val="CS COLOMBO CITI "/>
      <sheetName val="CS NORTH WESTERN"/>
      <sheetName val="Sam"/>
      <sheetName val="Char"/>
      <sheetName val="Sheet1"/>
      <sheetName val="Sheet2"/>
      <sheetName val="Sheet5"/>
      <sheetName val="Sheet3"/>
      <sheetName val="Inter transfer of PPE"/>
      <sheetName val="Sheet7"/>
      <sheetName val="15"/>
      <sheetName val="Sheet4"/>
      <sheetName val="Sheet8"/>
      <sheetName val="Breakup"/>
      <sheetName val="Sheet9"/>
      <sheetName val="10.5"/>
      <sheetName val="11.1"/>
      <sheetName val="11.2"/>
      <sheetName val="16"/>
      <sheetName val="13"/>
      <sheetName val="14 (2)"/>
      <sheetName val="14"/>
      <sheetName val="17"/>
      <sheetName val="18"/>
      <sheetName val="Current Account breakup"/>
      <sheetName val="Annex 01"/>
      <sheetName val="Match"/>
      <sheetName val="Ex 3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ASSET MANAGEMENT DIVISION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CEYLON ELECTRICITY BOARD-(AM DIVISION)</v>
          </cell>
        </row>
      </sheetData>
      <sheetData sheetId="18"/>
      <sheetData sheetId="19">
        <row r="2">
          <cell r="A2" t="str">
            <v>NOTES TO THE FINANCIAL STATEMENT</v>
          </cell>
        </row>
      </sheetData>
      <sheetData sheetId="20"/>
      <sheetData sheetId="21">
        <row r="7">
          <cell r="C7">
            <v>1100</v>
          </cell>
          <cell r="D7" t="str">
            <v>Energy Sales - generation to Transmission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C8">
            <v>1105</v>
          </cell>
          <cell r="D8" t="str">
            <v>Energy Sales to Distribution Group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C9">
            <v>1110</v>
          </cell>
          <cell r="D9" t="str">
            <v>Electricity Sales Heavy Supply Account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C10">
            <v>1111</v>
          </cell>
          <cell r="D10" t="str">
            <v>Electricity Sales Heavy Supply  - LECO Account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C11">
            <v>1120</v>
          </cell>
          <cell r="D11" t="str">
            <v>Electricity Sales Ordinary Supply Account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C12">
            <v>1125</v>
          </cell>
          <cell r="D12" t="str">
            <v>Fixed charges on Electricity Bills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C13">
            <v>1200</v>
          </cell>
          <cell r="D13" t="str">
            <v>Fuel Surcharge Account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 t="str">
            <v>SUB TOTAL OF TURNOVER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 t="str">
            <v xml:space="preserve"> INTEREST INCOME</v>
          </cell>
          <cell r="O15">
            <v>0</v>
          </cell>
        </row>
        <row r="16">
          <cell r="C16">
            <v>1400</v>
          </cell>
          <cell r="D16" t="str">
            <v>Interest on Investment Account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C17">
            <v>1420</v>
          </cell>
          <cell r="D17" t="str">
            <v>Interest on Staff Loan Account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C18">
            <v>1425</v>
          </cell>
          <cell r="D18" t="str">
            <v>Rebate on Long Term Loan Interest Account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 t="str">
            <v>SUB TOTAL OF INTEREST INCOME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 t="str">
            <v>DIVIDEND INCOME</v>
          </cell>
          <cell r="O20">
            <v>0</v>
          </cell>
        </row>
        <row r="21">
          <cell r="C21">
            <v>1210</v>
          </cell>
          <cell r="D21" t="str">
            <v xml:space="preserve">Dividends Account  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 t="str">
            <v>SUB TOTAL OF DIVIDEND INCOME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 t="str">
            <v xml:space="preserve"> OVERHEAD RECOVERIES</v>
          </cell>
          <cell r="O23">
            <v>0</v>
          </cell>
        </row>
        <row r="24">
          <cell r="C24">
            <v>1330</v>
          </cell>
          <cell r="D24" t="str">
            <v>Overhead Recoveries Account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28497</v>
          </cell>
          <cell r="J24">
            <v>0</v>
          </cell>
          <cell r="K24">
            <v>34108751.600000001</v>
          </cell>
          <cell r="L24">
            <v>65442233.5</v>
          </cell>
          <cell r="M24">
            <v>9618639.0999999996</v>
          </cell>
          <cell r="N24">
            <v>0</v>
          </cell>
          <cell r="O24">
            <v>100900993.5</v>
          </cell>
        </row>
        <row r="25">
          <cell r="C25">
            <v>1510</v>
          </cell>
          <cell r="D25" t="str">
            <v>Recoveries on House Rent Account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97785</v>
          </cell>
        </row>
        <row r="26">
          <cell r="C26">
            <v>1520</v>
          </cell>
          <cell r="D26" t="str">
            <v>Recoveries on Telephone Account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13294.380000000001</v>
          </cell>
        </row>
        <row r="27">
          <cell r="C27">
            <v>1530</v>
          </cell>
          <cell r="D27" t="str">
            <v>Recoveries on Use of Motor Vehicle Account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>
            <v>1540</v>
          </cell>
          <cell r="D28" t="str">
            <v>Recoveries on Circuit Bungalow Account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C29">
            <v>1550</v>
          </cell>
          <cell r="D29" t="str">
            <v>Recoveries of Damages to the CEB Assets Account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C30" t="str">
            <v>1551</v>
          </cell>
          <cell r="D30" t="str">
            <v>Income on amortized Government Grant***</v>
          </cell>
        </row>
        <row r="31">
          <cell r="C31" t="str">
            <v>1552</v>
          </cell>
          <cell r="D31" t="str">
            <v>Income on amortized Consumer Contribution***</v>
          </cell>
        </row>
        <row r="32">
          <cell r="D32" t="str">
            <v>SUB TOTAL OF OVERHEAD RECOVERIES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28497</v>
          </cell>
          <cell r="J32">
            <v>0</v>
          </cell>
          <cell r="K32">
            <v>34108751.600000001</v>
          </cell>
          <cell r="L32">
            <v>65442233.5</v>
          </cell>
          <cell r="M32">
            <v>9618639.0999999996</v>
          </cell>
          <cell r="N32">
            <v>0</v>
          </cell>
          <cell r="O32">
            <v>101012072.88</v>
          </cell>
        </row>
        <row r="33">
          <cell r="D33" t="str">
            <v xml:space="preserve"> PROFIT / LOSS ON DISPOSAl OF PPE</v>
          </cell>
          <cell r="O33">
            <v>0</v>
          </cell>
        </row>
        <row r="34">
          <cell r="C34">
            <v>1610</v>
          </cell>
          <cell r="D34" t="str">
            <v xml:space="preserve">Sale of  Fixed Assets (Disposal) Account 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C35">
            <v>1620</v>
          </cell>
          <cell r="D35" t="str">
            <v>Sale of  Scrap Account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D36" t="str">
            <v>SUB TOTAL OF PROFIT / LOSS ON DISPOSAl OF PPE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D37" t="str">
            <v xml:space="preserve"> MISSELANIOUS INCOME</v>
          </cell>
          <cell r="O37">
            <v>0</v>
          </cell>
        </row>
        <row r="38">
          <cell r="C38">
            <v>1130</v>
          </cell>
          <cell r="D38" t="str">
            <v>Surcharge on Electricity Bills Account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C39">
            <v>1300</v>
          </cell>
          <cell r="D39" t="str">
            <v>Miscellaneous Income Account</v>
          </cell>
          <cell r="E39">
            <v>48854.149999999994</v>
          </cell>
          <cell r="F39">
            <v>1338317</v>
          </cell>
          <cell r="G39">
            <v>-11379.950000000004</v>
          </cell>
          <cell r="H39">
            <v>158015</v>
          </cell>
          <cell r="I39">
            <v>35512.109999999986</v>
          </cell>
          <cell r="J39">
            <v>0</v>
          </cell>
          <cell r="K39">
            <v>239024.98</v>
          </cell>
          <cell r="L39">
            <v>272280.88</v>
          </cell>
          <cell r="M39">
            <v>26812.810000000005</v>
          </cell>
          <cell r="N39">
            <v>125035.13</v>
          </cell>
          <cell r="O39">
            <v>1023870.9099999999</v>
          </cell>
        </row>
        <row r="40">
          <cell r="C40">
            <v>1305</v>
          </cell>
          <cell r="D40" t="str">
            <v>Samurdhi Loan Interest  Account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C41">
            <v>1310</v>
          </cell>
          <cell r="D41" t="str">
            <v>G.D. Income / G.I. Income Account</v>
          </cell>
          <cell r="E41">
            <v>0</v>
          </cell>
          <cell r="F41">
            <v>1792202.81</v>
          </cell>
          <cell r="G41">
            <v>0</v>
          </cell>
          <cell r="H41">
            <v>0</v>
          </cell>
          <cell r="I41">
            <v>-140251.54999999999</v>
          </cell>
          <cell r="J41">
            <v>0</v>
          </cell>
          <cell r="K41">
            <v>92157437.072778001</v>
          </cell>
          <cell r="L41">
            <v>42529029.980000004</v>
          </cell>
          <cell r="M41">
            <v>21294164.938750003</v>
          </cell>
          <cell r="N41">
            <v>1039262.5</v>
          </cell>
          <cell r="O41">
            <v>195567184.43000001</v>
          </cell>
        </row>
        <row r="42">
          <cell r="C42">
            <v>1315</v>
          </cell>
          <cell r="D42" t="str">
            <v>Liquidated  Damages Account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C43">
            <v>1320</v>
          </cell>
          <cell r="D43" t="str">
            <v>Re-usable Material Account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C44">
            <v>1325</v>
          </cell>
          <cell r="D44" t="str">
            <v>Sale Of Ash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C45">
            <v>1340</v>
          </cell>
          <cell r="D45" t="str">
            <v>Material Price Variance Account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C46">
            <v>1350</v>
          </cell>
          <cell r="D46" t="str">
            <v>Tender Fee/Non Refundable Deposits/ Forfeiture of Guarantees Account</v>
          </cell>
          <cell r="E46">
            <v>13900</v>
          </cell>
          <cell r="F46">
            <v>8400</v>
          </cell>
          <cell r="G46">
            <v>156000</v>
          </cell>
          <cell r="H46">
            <v>159500</v>
          </cell>
          <cell r="I46">
            <v>0</v>
          </cell>
          <cell r="J46">
            <v>0</v>
          </cell>
          <cell r="K46">
            <v>200</v>
          </cell>
          <cell r="L46">
            <v>1250</v>
          </cell>
          <cell r="M46">
            <v>1155</v>
          </cell>
          <cell r="N46">
            <v>0</v>
          </cell>
          <cell r="O46">
            <v>676550</v>
          </cell>
        </row>
        <row r="47">
          <cell r="C47">
            <v>1360</v>
          </cell>
          <cell r="D47" t="str">
            <v>Penalty on Illicit Electricity Consumption Account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C48">
            <v>1370</v>
          </cell>
          <cell r="D48" t="str">
            <v>Income on Cost Recovery Jobs Account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C49">
            <v>1380</v>
          </cell>
          <cell r="D49" t="str">
            <v>Service Main Application Fee Account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C50">
            <v>1385</v>
          </cell>
          <cell r="D50" t="str">
            <v>Income on Cost Recovery Jobs Account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C51">
            <v>1390</v>
          </cell>
          <cell r="D51" t="str">
            <v>acturial gain or loss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 t="str">
            <v>SUB TOTAL OF MISSELANIOUS INCOME</v>
          </cell>
          <cell r="E52">
            <v>62754.149999999994</v>
          </cell>
          <cell r="F52">
            <v>3138919.81</v>
          </cell>
          <cell r="G52">
            <v>144620.04999999999</v>
          </cell>
          <cell r="H52">
            <v>317515</v>
          </cell>
          <cell r="I52">
            <v>-104739.44</v>
          </cell>
          <cell r="J52">
            <v>0</v>
          </cell>
          <cell r="K52">
            <v>92396662.052778006</v>
          </cell>
          <cell r="L52">
            <v>42802560.860000007</v>
          </cell>
          <cell r="M52">
            <v>21322132.748750001</v>
          </cell>
          <cell r="N52">
            <v>1164297.6299999999</v>
          </cell>
          <cell r="O52">
            <v>197267605.34</v>
          </cell>
        </row>
        <row r="53">
          <cell r="D53" t="str">
            <v>TOTAL INCOME</v>
          </cell>
          <cell r="E53">
            <v>62754.149999999994</v>
          </cell>
          <cell r="F53">
            <v>3138919.81</v>
          </cell>
          <cell r="G53">
            <v>144620.04999999999</v>
          </cell>
          <cell r="H53">
            <v>317515</v>
          </cell>
          <cell r="I53">
            <v>-76242.44</v>
          </cell>
          <cell r="J53">
            <v>0</v>
          </cell>
          <cell r="K53">
            <v>126505413.652778</v>
          </cell>
          <cell r="L53">
            <v>108244794.36000001</v>
          </cell>
          <cell r="M53">
            <v>30940771.848750003</v>
          </cell>
          <cell r="N53">
            <v>1164297.6299999999</v>
          </cell>
          <cell r="O53">
            <v>298279678.22000003</v>
          </cell>
        </row>
        <row r="54">
          <cell r="D54" t="str">
            <v xml:space="preserve"> PERSONNEL EXPENSES</v>
          </cell>
          <cell r="O54">
            <v>0</v>
          </cell>
        </row>
        <row r="55">
          <cell r="C55">
            <v>2100</v>
          </cell>
          <cell r="D55" t="str">
            <v>Management Staff Salaries Account</v>
          </cell>
          <cell r="E55">
            <v>3665075</v>
          </cell>
          <cell r="F55">
            <v>12387170.949999999</v>
          </cell>
          <cell r="G55">
            <v>10189426.850000001</v>
          </cell>
          <cell r="H55">
            <v>4483056</v>
          </cell>
          <cell r="I55">
            <v>2564807</v>
          </cell>
          <cell r="J55">
            <v>0</v>
          </cell>
          <cell r="K55">
            <v>2862432.17</v>
          </cell>
          <cell r="L55">
            <v>3507554.67</v>
          </cell>
          <cell r="M55">
            <v>3328140</v>
          </cell>
          <cell r="N55">
            <v>1165690.33</v>
          </cell>
          <cell r="O55">
            <v>43334848.049999997</v>
          </cell>
        </row>
        <row r="56">
          <cell r="C56">
            <v>2110</v>
          </cell>
          <cell r="D56" t="str">
            <v>Management Staff Allowances Account</v>
          </cell>
          <cell r="E56">
            <v>642268.68000000005</v>
          </cell>
          <cell r="F56">
            <v>4429691.1900000004</v>
          </cell>
          <cell r="G56">
            <v>1919588.8399999999</v>
          </cell>
          <cell r="H56">
            <v>1132726.8999999999</v>
          </cell>
          <cell r="I56">
            <v>254354.70999999996</v>
          </cell>
          <cell r="J56">
            <v>0</v>
          </cell>
          <cell r="K56">
            <v>658679.62</v>
          </cell>
          <cell r="L56">
            <v>744379.17</v>
          </cell>
          <cell r="M56">
            <v>404105</v>
          </cell>
          <cell r="N56">
            <v>409705.33</v>
          </cell>
          <cell r="O56">
            <v>14046994.959999999</v>
          </cell>
        </row>
        <row r="57">
          <cell r="C57">
            <v>2120</v>
          </cell>
          <cell r="D57" t="str">
            <v>All the related expenses on Board of Directors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C58">
            <v>2200</v>
          </cell>
          <cell r="D58" t="str">
            <v>Other Staff Salaries Account</v>
          </cell>
          <cell r="E58">
            <v>41936985.580000006</v>
          </cell>
          <cell r="F58">
            <v>12280973.899999999</v>
          </cell>
          <cell r="G58">
            <v>8013482.7899999991</v>
          </cell>
          <cell r="H58">
            <v>4989480.8499999996</v>
          </cell>
          <cell r="I58">
            <v>4836570.25</v>
          </cell>
          <cell r="J58">
            <v>0</v>
          </cell>
          <cell r="K58">
            <v>10679910.119999999</v>
          </cell>
          <cell r="L58">
            <v>10204710.469999999</v>
          </cell>
          <cell r="M58">
            <v>3380246.33</v>
          </cell>
          <cell r="N58">
            <v>2642329.2300000004</v>
          </cell>
          <cell r="O58">
            <v>105461894.92</v>
          </cell>
        </row>
        <row r="59">
          <cell r="C59">
            <v>2205</v>
          </cell>
          <cell r="D59" t="str">
            <v>Salary Arears &amp; Allowances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C60">
            <v>2300</v>
          </cell>
          <cell r="D60" t="str">
            <v>Other Staff Overtime Account</v>
          </cell>
          <cell r="E60">
            <v>29620260.59</v>
          </cell>
          <cell r="F60">
            <v>3052124.4400000004</v>
          </cell>
          <cell r="G60">
            <v>2340628.92</v>
          </cell>
          <cell r="H60">
            <v>856034.57000000007</v>
          </cell>
          <cell r="I60">
            <v>931859.91</v>
          </cell>
          <cell r="J60">
            <v>0</v>
          </cell>
          <cell r="K60">
            <v>7634256.0600000005</v>
          </cell>
          <cell r="L60">
            <v>5196245.0200000005</v>
          </cell>
          <cell r="M60">
            <v>896194.10999999987</v>
          </cell>
          <cell r="N60">
            <v>1093663.28</v>
          </cell>
          <cell r="O60">
            <v>55086052.180000007</v>
          </cell>
        </row>
        <row r="61">
          <cell r="C61">
            <v>2310</v>
          </cell>
          <cell r="D61" t="str">
            <v>Other Staff Allowances Account</v>
          </cell>
          <cell r="E61">
            <v>1417186.92</v>
          </cell>
          <cell r="F61">
            <v>1137134.22</v>
          </cell>
          <cell r="G61">
            <v>667205.62999999989</v>
          </cell>
          <cell r="H61">
            <v>203282.83</v>
          </cell>
          <cell r="I61">
            <v>574071.33000000007</v>
          </cell>
          <cell r="J61">
            <v>0</v>
          </cell>
          <cell r="K61">
            <v>1009300.01</v>
          </cell>
          <cell r="L61">
            <v>1130166.3500000001</v>
          </cell>
          <cell r="M61">
            <v>251900</v>
          </cell>
          <cell r="N61">
            <v>411867.05</v>
          </cell>
          <cell r="O61">
            <v>7220642.709999999</v>
          </cell>
        </row>
        <row r="62">
          <cell r="C62">
            <v>2320</v>
          </cell>
          <cell r="D62" t="str">
            <v>Direct Labor at Normal Rate - Generation Account</v>
          </cell>
          <cell r="E62">
            <v>931499.33</v>
          </cell>
          <cell r="F62">
            <v>8434141.4400000013</v>
          </cell>
          <cell r="G62">
            <v>7839146.5699999994</v>
          </cell>
          <cell r="H62">
            <v>430281.67</v>
          </cell>
          <cell r="I62">
            <v>7505827.54</v>
          </cell>
          <cell r="J62">
            <v>0</v>
          </cell>
          <cell r="K62">
            <v>14422505.23</v>
          </cell>
          <cell r="L62">
            <v>1912881.69</v>
          </cell>
          <cell r="M62">
            <v>46920</v>
          </cell>
          <cell r="N62">
            <v>5463907.3200000003</v>
          </cell>
          <cell r="O62">
            <v>47142324.870000005</v>
          </cell>
        </row>
        <row r="63">
          <cell r="C63">
            <v>2321</v>
          </cell>
          <cell r="D63" t="str">
            <v>Direct Labor at Normal Rate - Rehabilitation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C64">
            <v>2322</v>
          </cell>
          <cell r="D64" t="str">
            <v>Direct Labor at Normal Rate  - Distribution Account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C65">
            <v>2330</v>
          </cell>
          <cell r="D65" t="str">
            <v>Direct Labor Overtime - Generation Account</v>
          </cell>
          <cell r="E65">
            <v>820479.35</v>
          </cell>
          <cell r="F65">
            <v>3012435.8</v>
          </cell>
          <cell r="G65">
            <v>3956245.44</v>
          </cell>
          <cell r="H65">
            <v>230079.35999999999</v>
          </cell>
          <cell r="I65">
            <v>527562.5</v>
          </cell>
          <cell r="J65">
            <v>0</v>
          </cell>
          <cell r="K65">
            <v>3841345</v>
          </cell>
          <cell r="L65">
            <v>193717.5</v>
          </cell>
          <cell r="M65">
            <v>0</v>
          </cell>
          <cell r="N65">
            <v>1652346.5700000003</v>
          </cell>
          <cell r="O65">
            <v>15435993.310000001</v>
          </cell>
        </row>
        <row r="66">
          <cell r="C66">
            <v>2331</v>
          </cell>
          <cell r="D66" t="str">
            <v>Direct Labor Overtime  - Rehabilitation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C67">
            <v>2332</v>
          </cell>
          <cell r="D67" t="str">
            <v xml:space="preserve">Direct Labor Overtime - Distribution Account 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C68">
            <v>2334</v>
          </cell>
          <cell r="D68" t="str">
            <v>Contract Employee Cost Account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C69">
            <v>2340</v>
          </cell>
          <cell r="D69" t="str">
            <v>Labor Rate Variance Account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-1955377.76</v>
          </cell>
          <cell r="J69">
            <v>0</v>
          </cell>
          <cell r="K69">
            <v>-4830913.2299999986</v>
          </cell>
          <cell r="L69">
            <v>-5660794.6399999987</v>
          </cell>
          <cell r="M69">
            <v>-595469.67999999993</v>
          </cell>
          <cell r="N69">
            <v>0</v>
          </cell>
          <cell r="O69">
            <v>-24777038.912999999</v>
          </cell>
        </row>
        <row r="70">
          <cell r="C70">
            <v>2350</v>
          </cell>
          <cell r="D70" t="str">
            <v xml:space="preserve">Holiday Pay - Management Staff Account </v>
          </cell>
          <cell r="E70">
            <v>361306.50000000006</v>
          </cell>
          <cell r="F70">
            <v>261891.4</v>
          </cell>
          <cell r="G70">
            <v>255272.37</v>
          </cell>
          <cell r="H70">
            <v>208047.94999999998</v>
          </cell>
          <cell r="I70">
            <v>56636.799999999996</v>
          </cell>
          <cell r="J70">
            <v>0</v>
          </cell>
          <cell r="K70">
            <v>0</v>
          </cell>
          <cell r="L70">
            <v>0</v>
          </cell>
          <cell r="M70">
            <v>10259.700000000001</v>
          </cell>
          <cell r="N70">
            <v>0</v>
          </cell>
          <cell r="O70">
            <v>1511017.6800000002</v>
          </cell>
        </row>
        <row r="71">
          <cell r="C71">
            <v>2355</v>
          </cell>
          <cell r="D71" t="str">
            <v xml:space="preserve">Holiday Pay - Other Staff Account </v>
          </cell>
          <cell r="E71">
            <v>1015515.32</v>
          </cell>
          <cell r="F71">
            <v>308272.83</v>
          </cell>
          <cell r="G71">
            <v>208506.46999999997</v>
          </cell>
          <cell r="H71">
            <v>36051.879999999997</v>
          </cell>
          <cell r="I71">
            <v>140970.84</v>
          </cell>
          <cell r="J71">
            <v>0</v>
          </cell>
          <cell r="K71">
            <v>5443501.7299999995</v>
          </cell>
          <cell r="L71">
            <v>8221673.9500000002</v>
          </cell>
          <cell r="M71">
            <v>508191.94</v>
          </cell>
          <cell r="N71">
            <v>579955.70000000007</v>
          </cell>
          <cell r="O71">
            <v>16433451.760000002</v>
          </cell>
        </row>
        <row r="72">
          <cell r="C72">
            <v>2360</v>
          </cell>
          <cell r="D72" t="str">
            <v>Idle Time Account</v>
          </cell>
          <cell r="E72">
            <v>0</v>
          </cell>
          <cell r="F72">
            <v>23490.48</v>
          </cell>
          <cell r="G72">
            <v>0</v>
          </cell>
          <cell r="H72">
            <v>0</v>
          </cell>
          <cell r="I72">
            <v>776480</v>
          </cell>
          <cell r="J72">
            <v>0</v>
          </cell>
          <cell r="K72">
            <v>14030</v>
          </cell>
          <cell r="L72">
            <v>2458700</v>
          </cell>
          <cell r="M72">
            <v>0</v>
          </cell>
          <cell r="N72">
            <v>0</v>
          </cell>
          <cell r="O72">
            <v>3821958</v>
          </cell>
        </row>
        <row r="73">
          <cell r="C73">
            <v>2500</v>
          </cell>
          <cell r="D73" t="str">
            <v>Bonus Account</v>
          </cell>
          <cell r="E73">
            <v>4436234.1499999994</v>
          </cell>
          <cell r="F73">
            <v>3374512.34</v>
          </cell>
          <cell r="G73">
            <v>2636593.7000000002</v>
          </cell>
          <cell r="H73">
            <v>959534.01</v>
          </cell>
          <cell r="I73">
            <v>1901473.69</v>
          </cell>
          <cell r="J73">
            <v>0</v>
          </cell>
          <cell r="K73">
            <v>3811629.4000000004</v>
          </cell>
          <cell r="L73">
            <v>4417211.63</v>
          </cell>
          <cell r="M73">
            <v>1252484.3799999999</v>
          </cell>
          <cell r="N73">
            <v>907816.56</v>
          </cell>
          <cell r="O73">
            <v>23154334.100000001</v>
          </cell>
        </row>
        <row r="74">
          <cell r="C74">
            <v>2510</v>
          </cell>
          <cell r="D74" t="str">
            <v>Incentive for Meter Readers Account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C75">
            <v>2520</v>
          </cell>
          <cell r="D75" t="str">
            <v>Gratuity Payment Account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C76">
            <v>2530</v>
          </cell>
          <cell r="D76" t="str">
            <v>Non Sick Leave Incentive Account</v>
          </cell>
          <cell r="E76">
            <v>2921526.3400000003</v>
          </cell>
          <cell r="F76">
            <v>2623212.19</v>
          </cell>
          <cell r="G76">
            <v>1930760.52</v>
          </cell>
          <cell r="H76">
            <v>670712.84</v>
          </cell>
          <cell r="I76">
            <v>1181817.2000000002</v>
          </cell>
          <cell r="J76">
            <v>0</v>
          </cell>
          <cell r="K76">
            <v>2746556.96</v>
          </cell>
          <cell r="L76">
            <v>3233101.39</v>
          </cell>
          <cell r="M76">
            <v>980114.12</v>
          </cell>
          <cell r="N76">
            <v>775188.25</v>
          </cell>
          <cell r="O76">
            <v>200056.55999999997</v>
          </cell>
        </row>
        <row r="77">
          <cell r="C77">
            <v>2540</v>
          </cell>
          <cell r="D77" t="str">
            <v>Allowances to Trainees Account</v>
          </cell>
          <cell r="E77">
            <v>0</v>
          </cell>
          <cell r="F77">
            <v>15149725</v>
          </cell>
          <cell r="G77">
            <v>218550</v>
          </cell>
          <cell r="H77">
            <v>123500</v>
          </cell>
          <cell r="I77">
            <v>0</v>
          </cell>
          <cell r="J77">
            <v>0</v>
          </cell>
          <cell r="K77">
            <v>310925</v>
          </cell>
          <cell r="L77">
            <v>230890</v>
          </cell>
          <cell r="M77">
            <v>475250</v>
          </cell>
          <cell r="N77">
            <v>52425</v>
          </cell>
          <cell r="O77">
            <v>73544965.239999995</v>
          </cell>
        </row>
        <row r="78">
          <cell r="C78">
            <v>2550</v>
          </cell>
          <cell r="D78" t="str">
            <v>Compensation to CEB Employees Account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C79">
            <v>2600</v>
          </cell>
          <cell r="D79" t="str">
            <v xml:space="preserve">Staff Training Account </v>
          </cell>
          <cell r="E79">
            <v>1006774.13</v>
          </cell>
          <cell r="F79">
            <v>0</v>
          </cell>
          <cell r="G79">
            <v>108000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1286259.42</v>
          </cell>
        </row>
        <row r="80">
          <cell r="C80" t="str">
            <v>2601</v>
          </cell>
          <cell r="D80" t="str">
            <v>Payment for the examination matters of CEB</v>
          </cell>
          <cell r="O80">
            <v>5855240</v>
          </cell>
        </row>
        <row r="81">
          <cell r="C81">
            <v>2602</v>
          </cell>
          <cell r="D81" t="str">
            <v xml:space="preserve">Local Training  Account </v>
          </cell>
          <cell r="E81">
            <v>0</v>
          </cell>
          <cell r="F81">
            <v>19342049.350000001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2497071.9999999995</v>
          </cell>
          <cell r="O81">
            <v>16788842.079999998</v>
          </cell>
        </row>
        <row r="82">
          <cell r="C82">
            <v>2603</v>
          </cell>
          <cell r="D82" t="str">
            <v>Foreign Training CEB Account</v>
          </cell>
          <cell r="E82">
            <v>0</v>
          </cell>
          <cell r="F82">
            <v>48707369.460000001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126549114.99999999</v>
          </cell>
        </row>
        <row r="83">
          <cell r="C83">
            <v>2610</v>
          </cell>
          <cell r="D83" t="str">
            <v>Library Facilities Account</v>
          </cell>
          <cell r="E83">
            <v>49200</v>
          </cell>
          <cell r="F83">
            <v>42487</v>
          </cell>
          <cell r="G83">
            <v>57323.75</v>
          </cell>
          <cell r="H83">
            <v>26910</v>
          </cell>
          <cell r="I83">
            <v>10015</v>
          </cell>
          <cell r="J83">
            <v>0</v>
          </cell>
          <cell r="K83">
            <v>10310</v>
          </cell>
          <cell r="L83">
            <v>12810</v>
          </cell>
          <cell r="M83">
            <v>18524</v>
          </cell>
          <cell r="N83">
            <v>24900</v>
          </cell>
          <cell r="O83">
            <v>224986.75</v>
          </cell>
        </row>
        <row r="84">
          <cell r="C84">
            <v>2615</v>
          </cell>
          <cell r="D84" t="str">
            <v xml:space="preserve">Expenses related to productivity, innovation and other competitions/ events organised for CEB employees 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C85">
            <v>2620</v>
          </cell>
          <cell r="D85" t="str">
            <v>Fees to Professional Institutions Account</v>
          </cell>
          <cell r="E85">
            <v>0</v>
          </cell>
          <cell r="F85">
            <v>141061.93</v>
          </cell>
          <cell r="G85">
            <v>16576</v>
          </cell>
          <cell r="H85">
            <v>79051</v>
          </cell>
          <cell r="I85">
            <v>47202.95</v>
          </cell>
          <cell r="J85">
            <v>0</v>
          </cell>
          <cell r="K85">
            <v>22918.69</v>
          </cell>
          <cell r="L85">
            <v>10080</v>
          </cell>
          <cell r="M85">
            <v>7392</v>
          </cell>
          <cell r="N85">
            <v>0</v>
          </cell>
          <cell r="O85">
            <v>241997.52999999997</v>
          </cell>
        </row>
        <row r="86">
          <cell r="C86">
            <v>2630</v>
          </cell>
          <cell r="D86" t="str">
            <v>Staff Welfare Account</v>
          </cell>
          <cell r="E86">
            <v>0</v>
          </cell>
          <cell r="F86">
            <v>1000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1260</v>
          </cell>
          <cell r="N86">
            <v>0</v>
          </cell>
          <cell r="O86">
            <v>5136</v>
          </cell>
        </row>
        <row r="87">
          <cell r="C87">
            <v>2631</v>
          </cell>
          <cell r="D87" t="str">
            <v>Staff Welfare  - Medical Expenses Account</v>
          </cell>
          <cell r="E87">
            <v>0</v>
          </cell>
          <cell r="F87">
            <v>0</v>
          </cell>
          <cell r="G87">
            <v>3000</v>
          </cell>
          <cell r="H87">
            <v>500</v>
          </cell>
          <cell r="I87">
            <v>3000</v>
          </cell>
          <cell r="J87">
            <v>0</v>
          </cell>
          <cell r="K87">
            <v>4000</v>
          </cell>
          <cell r="L87">
            <v>1000</v>
          </cell>
          <cell r="M87">
            <v>0</v>
          </cell>
          <cell r="N87">
            <v>0</v>
          </cell>
          <cell r="O87">
            <v>500</v>
          </cell>
        </row>
        <row r="88">
          <cell r="C88">
            <v>2632</v>
          </cell>
          <cell r="D88" t="str">
            <v>Staff Welfare  - Traveling &amp; Concession Account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C89">
            <v>2635</v>
          </cell>
          <cell r="D89" t="str">
            <v>Executive Officers Mobile Allowance Account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263566.21999999997</v>
          </cell>
        </row>
        <row r="90">
          <cell r="C90">
            <v>2640</v>
          </cell>
          <cell r="D90" t="str">
            <v xml:space="preserve">Medical  Expenses - Indoor Account </v>
          </cell>
          <cell r="E90">
            <v>2076098.87</v>
          </cell>
          <cell r="F90">
            <v>2134742.2799999998</v>
          </cell>
          <cell r="G90">
            <v>1459765.31</v>
          </cell>
          <cell r="H90">
            <v>577284.30999999994</v>
          </cell>
          <cell r="I90">
            <v>702713.95</v>
          </cell>
          <cell r="J90">
            <v>0</v>
          </cell>
          <cell r="K90">
            <v>2122914.9899999998</v>
          </cell>
          <cell r="L90">
            <v>1714774.38</v>
          </cell>
          <cell r="M90">
            <v>485462.09999999992</v>
          </cell>
          <cell r="N90">
            <v>22400</v>
          </cell>
          <cell r="O90">
            <v>14126323.91</v>
          </cell>
        </row>
        <row r="91">
          <cell r="C91">
            <v>2641</v>
          </cell>
          <cell r="D91" t="str">
            <v>Medical Expenses  - Out door Account</v>
          </cell>
          <cell r="E91">
            <v>1390992.2</v>
          </cell>
          <cell r="F91">
            <v>877830</v>
          </cell>
          <cell r="G91">
            <v>658310.53999999992</v>
          </cell>
          <cell r="H91">
            <v>299037.04000000004</v>
          </cell>
          <cell r="I91">
            <v>528962.16999999993</v>
          </cell>
          <cell r="J91">
            <v>0</v>
          </cell>
          <cell r="K91">
            <v>952732.47999999986</v>
          </cell>
          <cell r="L91">
            <v>1267255.43</v>
          </cell>
          <cell r="M91">
            <v>414063.47000000003</v>
          </cell>
          <cell r="N91">
            <v>236962.27000000002</v>
          </cell>
          <cell r="O91">
            <v>6352942.7400000012</v>
          </cell>
        </row>
        <row r="92">
          <cell r="C92">
            <v>2650</v>
          </cell>
          <cell r="D92" t="str">
            <v>Uniforms &amp; Protective Clothing Account</v>
          </cell>
          <cell r="E92">
            <v>7295330.2999999998</v>
          </cell>
          <cell r="F92">
            <v>31865</v>
          </cell>
          <cell r="G92">
            <v>220667.72</v>
          </cell>
          <cell r="H92">
            <v>0</v>
          </cell>
          <cell r="I92">
            <v>282953.82</v>
          </cell>
          <cell r="J92">
            <v>0</v>
          </cell>
          <cell r="K92">
            <v>886033.9</v>
          </cell>
          <cell r="L92">
            <v>233902.5</v>
          </cell>
          <cell r="M92">
            <v>54634.95</v>
          </cell>
          <cell r="N92">
            <v>117500</v>
          </cell>
          <cell r="O92">
            <v>7471949.6100000003</v>
          </cell>
        </row>
        <row r="93">
          <cell r="C93">
            <v>2660</v>
          </cell>
          <cell r="D93" t="str">
            <v>Reimbursement of loan Interest Account</v>
          </cell>
          <cell r="E93">
            <v>9450726.6799999997</v>
          </cell>
          <cell r="F93">
            <v>5272828.54</v>
          </cell>
          <cell r="G93">
            <v>2815421.9699999993</v>
          </cell>
          <cell r="H93">
            <v>817522.77</v>
          </cell>
          <cell r="I93">
            <v>1841022.1900000002</v>
          </cell>
          <cell r="J93">
            <v>0</v>
          </cell>
          <cell r="K93">
            <v>4130896.0300000003</v>
          </cell>
          <cell r="L93">
            <v>7340248.2800000021</v>
          </cell>
          <cell r="M93">
            <v>1956685.73</v>
          </cell>
          <cell r="N93">
            <v>1097516.49</v>
          </cell>
          <cell r="O93">
            <v>36621287.400000006</v>
          </cell>
        </row>
        <row r="94">
          <cell r="C94">
            <v>2670</v>
          </cell>
          <cell r="D94" t="str">
            <v>PAYE Tax  Account</v>
          </cell>
          <cell r="E94">
            <v>1579062.2100000002</v>
          </cell>
          <cell r="F94">
            <v>1612390.8900000001</v>
          </cell>
          <cell r="G94">
            <v>1087934.48</v>
          </cell>
          <cell r="H94">
            <v>433504.92000000004</v>
          </cell>
          <cell r="I94">
            <v>204954.28999999998</v>
          </cell>
          <cell r="J94">
            <v>0</v>
          </cell>
          <cell r="K94">
            <v>1314131.6099999999</v>
          </cell>
          <cell r="L94">
            <v>1658519.39</v>
          </cell>
          <cell r="M94">
            <v>386827.14999999997</v>
          </cell>
          <cell r="N94">
            <v>225992.25</v>
          </cell>
          <cell r="O94">
            <v>9116375.3499999996</v>
          </cell>
        </row>
        <row r="95">
          <cell r="C95">
            <v>2680</v>
          </cell>
          <cell r="D95" t="str">
            <v>CEB Pension Fund Account</v>
          </cell>
          <cell r="E95">
            <v>3843527.96</v>
          </cell>
          <cell r="F95">
            <v>2798632.7600000002</v>
          </cell>
          <cell r="G95">
            <v>2164952.7600000002</v>
          </cell>
          <cell r="H95">
            <v>851172.74</v>
          </cell>
          <cell r="I95">
            <v>1522133.25</v>
          </cell>
          <cell r="J95">
            <v>0</v>
          </cell>
          <cell r="K95">
            <v>3178238.6000000006</v>
          </cell>
          <cell r="L95">
            <v>3795933.0400000005</v>
          </cell>
          <cell r="M95">
            <v>996736.33000000007</v>
          </cell>
          <cell r="N95">
            <v>751528.09</v>
          </cell>
          <cell r="O95">
            <v>20104162.130000003</v>
          </cell>
        </row>
        <row r="96">
          <cell r="C96">
            <v>2681</v>
          </cell>
          <cell r="D96" t="str">
            <v>Pension to EXDGEU Account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C97">
            <v>2682</v>
          </cell>
          <cell r="D97" t="str">
            <v>Pension Expenses***</v>
          </cell>
          <cell r="O97">
            <v>0</v>
          </cell>
        </row>
        <row r="98">
          <cell r="C98">
            <v>2700</v>
          </cell>
          <cell r="D98" t="str">
            <v>CEB Employee Trust Fund Account</v>
          </cell>
          <cell r="E98">
            <v>1441322.87</v>
          </cell>
          <cell r="F98">
            <v>1050410.82</v>
          </cell>
          <cell r="G98">
            <v>814889.19000000006</v>
          </cell>
          <cell r="H98">
            <v>319189.76000000001</v>
          </cell>
          <cell r="I98">
            <v>570799.98</v>
          </cell>
          <cell r="J98">
            <v>0</v>
          </cell>
          <cell r="K98">
            <v>1192301.18</v>
          </cell>
          <cell r="L98">
            <v>1434648.5599999998</v>
          </cell>
          <cell r="M98">
            <v>373776.14999999997</v>
          </cell>
          <cell r="N98">
            <v>283900.7</v>
          </cell>
          <cell r="O98">
            <v>7577255.9699999997</v>
          </cell>
        </row>
        <row r="99">
          <cell r="C99">
            <v>2710</v>
          </cell>
          <cell r="D99" t="str">
            <v>CEB Provident Fund Account</v>
          </cell>
          <cell r="E99">
            <v>7206615.0999999996</v>
          </cell>
          <cell r="F99">
            <v>5252053.6500000013</v>
          </cell>
          <cell r="G99">
            <v>4074445.6900000004</v>
          </cell>
          <cell r="H99">
            <v>1595948.8800000001</v>
          </cell>
          <cell r="I99">
            <v>2853999.9299999997</v>
          </cell>
          <cell r="J99">
            <v>0</v>
          </cell>
          <cell r="K99">
            <v>5961506.1000000015</v>
          </cell>
          <cell r="L99">
            <v>7173241.7700000005</v>
          </cell>
          <cell r="M99">
            <v>1868880.6899999997</v>
          </cell>
          <cell r="N99">
            <v>1419503.45</v>
          </cell>
          <cell r="O99">
            <v>37881537.670000002</v>
          </cell>
        </row>
        <row r="100">
          <cell r="D100" t="str">
            <v>PERSONNEL EXPENSES - SUB TOTAL</v>
          </cell>
          <cell r="E100">
            <v>123107988.07999998</v>
          </cell>
          <cell r="F100">
            <v>153739497.85999998</v>
          </cell>
          <cell r="G100">
            <v>53656695.50999999</v>
          </cell>
          <cell r="H100">
            <v>19322910.280000001</v>
          </cell>
          <cell r="I100">
            <v>27864811.539999999</v>
          </cell>
          <cell r="J100">
            <v>0</v>
          </cell>
          <cell r="K100">
            <v>68380141.650000006</v>
          </cell>
          <cell r="L100">
            <v>60432850.550000012</v>
          </cell>
          <cell r="M100">
            <v>17502578.470000003</v>
          </cell>
          <cell r="N100">
            <v>21832169.869999997</v>
          </cell>
          <cell r="O100">
            <v>672084973.20700014</v>
          </cell>
        </row>
        <row r="101">
          <cell r="D101" t="str">
            <v xml:space="preserve"> MATERIAL COST</v>
          </cell>
          <cell r="O101">
            <v>0</v>
          </cell>
        </row>
        <row r="102">
          <cell r="C102">
            <v>3100</v>
          </cell>
          <cell r="D102" t="str">
            <v>Power Station Fuel Account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C103">
            <v>3110</v>
          </cell>
          <cell r="D103" t="str">
            <v>Purchased Power Thermal Account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C104">
            <v>3114</v>
          </cell>
          <cell r="D104" t="str">
            <v>Energy Purchase from Generation to Transmission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C105">
            <v>3115</v>
          </cell>
          <cell r="D105" t="str">
            <v>Energy Purchase from Transmission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C106">
            <v>3120</v>
          </cell>
          <cell r="D106" t="str">
            <v>Rebate on Self  Generation Account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C107">
            <v>3130</v>
          </cell>
          <cell r="D107" t="str">
            <v>Purchased Power  - Renewable Account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C108">
            <v>3150</v>
          </cell>
          <cell r="D108" t="str">
            <v>Power Station Coal Account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C109">
            <v>3200</v>
          </cell>
          <cell r="D109" t="str">
            <v>Component / Routine Maintenance - Generation Account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4744.95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6629</v>
          </cell>
          <cell r="O109">
            <v>0</v>
          </cell>
        </row>
        <row r="110">
          <cell r="C110">
            <v>3201</v>
          </cell>
          <cell r="D110" t="str">
            <v xml:space="preserve">Component / Routine Maintenance-Transmission 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C111">
            <v>3202</v>
          </cell>
          <cell r="D111" t="str">
            <v>Component / Routine Maintenance - Distribution  Account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C112">
            <v>3203</v>
          </cell>
          <cell r="D112" t="str">
            <v>Lubricating Oil Account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C113">
            <v>3204</v>
          </cell>
          <cell r="D113" t="str">
            <v>Water Treatment Plant Chemicals Account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C114">
            <v>3210</v>
          </cell>
          <cell r="D114" t="str">
            <v>Components / Special Maintenance Account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C115">
            <v>3211</v>
          </cell>
          <cell r="D115" t="str">
            <v>Components / Routine Maintenance on Rehabilitation Account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C116">
            <v>3212</v>
          </cell>
          <cell r="D116" t="str">
            <v>Expenses on Tug Boats and Barges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C117">
            <v>3220</v>
          </cell>
          <cell r="D117" t="str">
            <v>Components/Construction Account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C118">
            <v>3225</v>
          </cell>
          <cell r="D118" t="str">
            <v>Fixing of Boundary Meters Account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C119">
            <v>3230</v>
          </cell>
          <cell r="D119" t="str">
            <v>Consumables Account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217298.31</v>
          </cell>
          <cell r="J119">
            <v>0</v>
          </cell>
          <cell r="K119">
            <v>362138</v>
          </cell>
          <cell r="L119">
            <v>0</v>
          </cell>
          <cell r="M119">
            <v>0</v>
          </cell>
          <cell r="N119">
            <v>0</v>
          </cell>
          <cell r="O119">
            <v>444944.9</v>
          </cell>
        </row>
        <row r="120">
          <cell r="C120">
            <v>3300</v>
          </cell>
          <cell r="D120" t="str">
            <v>Loose Tools Account</v>
          </cell>
          <cell r="E120">
            <v>0</v>
          </cell>
          <cell r="F120">
            <v>0</v>
          </cell>
          <cell r="G120">
            <v>3800</v>
          </cell>
          <cell r="H120">
            <v>0</v>
          </cell>
          <cell r="I120">
            <v>265015.86</v>
          </cell>
          <cell r="J120">
            <v>0</v>
          </cell>
          <cell r="K120">
            <v>734896.86</v>
          </cell>
          <cell r="L120">
            <v>759774.5</v>
          </cell>
          <cell r="M120">
            <v>9788.75</v>
          </cell>
          <cell r="N120">
            <v>0</v>
          </cell>
          <cell r="O120">
            <v>1444606.6900000002</v>
          </cell>
        </row>
        <row r="121">
          <cell r="C121">
            <v>3410</v>
          </cell>
          <cell r="D121" t="str">
            <v>Stores Discrepancies Account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-11706.02</v>
          </cell>
          <cell r="N121">
            <v>0</v>
          </cell>
          <cell r="O121">
            <v>0</v>
          </cell>
        </row>
        <row r="122">
          <cell r="C122">
            <v>3420</v>
          </cell>
          <cell r="D122" t="str">
            <v>Damaged Stocks Account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C123">
            <v>3430</v>
          </cell>
          <cell r="D123" t="str">
            <v>Stores Price Variances Account</v>
          </cell>
          <cell r="E123">
            <v>0</v>
          </cell>
          <cell r="F123">
            <v>0</v>
          </cell>
          <cell r="G123">
            <v>51063.3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C124">
            <v>3450</v>
          </cell>
          <cell r="D124" t="str">
            <v>Annual Provision For Damaged Stocks &amp; Obsolete Stocks Account</v>
          </cell>
          <cell r="E124">
            <v>0</v>
          </cell>
          <cell r="F124">
            <v>0</v>
          </cell>
          <cell r="G124">
            <v>25245.37</v>
          </cell>
          <cell r="H124">
            <v>0</v>
          </cell>
          <cell r="I124">
            <v>-895349.26</v>
          </cell>
          <cell r="J124">
            <v>0</v>
          </cell>
          <cell r="K124">
            <v>-101732.9840000011</v>
          </cell>
          <cell r="L124">
            <v>1117037.42</v>
          </cell>
          <cell r="M124">
            <v>-8400</v>
          </cell>
          <cell r="N124">
            <v>0</v>
          </cell>
          <cell r="O124">
            <v>0</v>
          </cell>
        </row>
        <row r="125">
          <cell r="C125">
            <v>3500</v>
          </cell>
          <cell r="D125" t="str">
            <v>Damages &amp; Losses on Boards Property Account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C126">
            <v>3510</v>
          </cell>
          <cell r="D126" t="str">
            <v>Demurrages***</v>
          </cell>
        </row>
        <row r="127">
          <cell r="D127" t="str">
            <v>MATERIAL COST - SUB TOTAL</v>
          </cell>
          <cell r="E127">
            <v>0</v>
          </cell>
          <cell r="F127">
            <v>0</v>
          </cell>
          <cell r="G127">
            <v>80108.67</v>
          </cell>
          <cell r="H127">
            <v>0</v>
          </cell>
          <cell r="I127">
            <v>-408290.14</v>
          </cell>
          <cell r="J127">
            <v>0</v>
          </cell>
          <cell r="K127">
            <v>995301.87599999877</v>
          </cell>
          <cell r="L127">
            <v>1876811.92</v>
          </cell>
          <cell r="M127">
            <v>-10317.27</v>
          </cell>
          <cell r="N127">
            <v>6629</v>
          </cell>
          <cell r="O127">
            <v>1889551.5900000003</v>
          </cell>
        </row>
        <row r="128">
          <cell r="D128" t="str">
            <v>ACCOMMODATION EXPENSES</v>
          </cell>
          <cell r="O128">
            <v>0</v>
          </cell>
        </row>
        <row r="129">
          <cell r="C129">
            <v>4100</v>
          </cell>
          <cell r="D129" t="str">
            <v>Housing Rent and Rates Account</v>
          </cell>
          <cell r="E129">
            <v>158308</v>
          </cell>
          <cell r="F129">
            <v>61256.58</v>
          </cell>
          <cell r="G129">
            <v>1111300</v>
          </cell>
          <cell r="H129">
            <v>5580.03</v>
          </cell>
          <cell r="I129">
            <v>192219.94</v>
          </cell>
          <cell r="J129">
            <v>0</v>
          </cell>
          <cell r="K129">
            <v>305400</v>
          </cell>
          <cell r="L129">
            <v>0</v>
          </cell>
          <cell r="M129">
            <v>0</v>
          </cell>
          <cell r="N129">
            <v>0</v>
          </cell>
          <cell r="O129">
            <v>2044017.4800000002</v>
          </cell>
        </row>
        <row r="130">
          <cell r="C130">
            <v>4110</v>
          </cell>
          <cell r="D130" t="str">
            <v>Building Maintenance Account</v>
          </cell>
          <cell r="E130">
            <v>153292</v>
          </cell>
          <cell r="F130">
            <v>-2404925.3600000003</v>
          </cell>
          <cell r="G130">
            <v>3510990.1630000006</v>
          </cell>
          <cell r="H130">
            <v>109513</v>
          </cell>
          <cell r="I130">
            <v>2237232.08</v>
          </cell>
          <cell r="J130">
            <v>0</v>
          </cell>
          <cell r="K130">
            <v>813876.01</v>
          </cell>
          <cell r="L130">
            <v>660975.55000000005</v>
          </cell>
          <cell r="M130">
            <v>1956632.94</v>
          </cell>
          <cell r="N130">
            <v>8908318.870000001</v>
          </cell>
          <cell r="O130">
            <v>16662170.470000003</v>
          </cell>
        </row>
        <row r="131">
          <cell r="C131">
            <v>4120</v>
          </cell>
          <cell r="D131" t="str">
            <v>Circuit Bungalow Maintenance Account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C132">
            <v>4200</v>
          </cell>
          <cell r="D132" t="str">
            <v>Furniture, fittings and Equipment Account</v>
          </cell>
          <cell r="E132">
            <v>462451.58999999997</v>
          </cell>
          <cell r="F132">
            <v>313935.40000000002</v>
          </cell>
          <cell r="G132">
            <v>164422.52000000002</v>
          </cell>
          <cell r="H132">
            <v>223253.11</v>
          </cell>
          <cell r="I132">
            <v>94580</v>
          </cell>
          <cell r="J132">
            <v>0</v>
          </cell>
          <cell r="K132">
            <v>432806.91</v>
          </cell>
          <cell r="L132">
            <v>324610</v>
          </cell>
          <cell r="M132">
            <v>101931.84</v>
          </cell>
          <cell r="N132">
            <v>107159</v>
          </cell>
          <cell r="O132">
            <v>1844798.7899999998</v>
          </cell>
        </row>
        <row r="133">
          <cell r="C133">
            <v>4300</v>
          </cell>
          <cell r="D133" t="str">
            <v>Electricity  Consumption Account</v>
          </cell>
          <cell r="E133">
            <v>647075.23</v>
          </cell>
          <cell r="F133">
            <v>3544868.75</v>
          </cell>
          <cell r="G133">
            <v>773872.58000000007</v>
          </cell>
          <cell r="H133">
            <v>491032.04</v>
          </cell>
          <cell r="I133">
            <v>1258257.6700000002</v>
          </cell>
          <cell r="J133">
            <v>0</v>
          </cell>
          <cell r="K133">
            <v>1052528.06</v>
          </cell>
          <cell r="L133">
            <v>431182.54000000004</v>
          </cell>
          <cell r="M133">
            <v>10000</v>
          </cell>
          <cell r="N133">
            <v>1301369.97</v>
          </cell>
          <cell r="O133">
            <v>9783948.0399999991</v>
          </cell>
        </row>
        <row r="134">
          <cell r="C134">
            <v>4400</v>
          </cell>
          <cell r="D134" t="str">
            <v>Water Supply Charges Account</v>
          </cell>
          <cell r="E134">
            <v>270383</v>
          </cell>
          <cell r="F134">
            <v>114708.18</v>
          </cell>
          <cell r="G134">
            <v>1848719.54</v>
          </cell>
          <cell r="H134">
            <v>91800</v>
          </cell>
          <cell r="I134">
            <v>142321</v>
          </cell>
          <cell r="J134">
            <v>0</v>
          </cell>
          <cell r="K134">
            <v>827459.2</v>
          </cell>
          <cell r="L134">
            <v>72360</v>
          </cell>
          <cell r="M134">
            <v>72946.94</v>
          </cell>
          <cell r="N134">
            <v>0</v>
          </cell>
          <cell r="O134">
            <v>4167052.9000000004</v>
          </cell>
        </row>
        <row r="135">
          <cell r="C135">
            <v>4310</v>
          </cell>
          <cell r="D135" t="str">
            <v>LP Gas for employee quarters Account***</v>
          </cell>
        </row>
        <row r="136">
          <cell r="D136" t="str">
            <v>ACCOMMODATION EXPENSES - SUB TOTAL</v>
          </cell>
          <cell r="E136">
            <v>1691509.8199999998</v>
          </cell>
          <cell r="F136">
            <v>1629843.5499999996</v>
          </cell>
          <cell r="G136">
            <v>7409304.8030000003</v>
          </cell>
          <cell r="H136">
            <v>921178.17999999993</v>
          </cell>
          <cell r="I136">
            <v>3924610.6900000004</v>
          </cell>
          <cell r="J136">
            <v>0</v>
          </cell>
          <cell r="K136">
            <v>3432070.1799999997</v>
          </cell>
          <cell r="L136">
            <v>1489128.09</v>
          </cell>
          <cell r="M136">
            <v>2141511.7200000002</v>
          </cell>
          <cell r="N136">
            <v>10316847.840000002</v>
          </cell>
          <cell r="O136">
            <v>34501987.68</v>
          </cell>
        </row>
        <row r="137">
          <cell r="D137" t="str">
            <v>TRANSPORT &amp; COMMUNICATION EXPENSES</v>
          </cell>
          <cell r="O137">
            <v>0</v>
          </cell>
        </row>
        <row r="138">
          <cell r="C138">
            <v>5100</v>
          </cell>
          <cell r="D138" t="str">
            <v xml:space="preserve">Traveling and Subsistence (Local) Account </v>
          </cell>
          <cell r="E138">
            <v>416592.75</v>
          </cell>
          <cell r="F138">
            <v>252784.5</v>
          </cell>
          <cell r="G138">
            <v>381329.93</v>
          </cell>
          <cell r="H138">
            <v>33759.75</v>
          </cell>
          <cell r="I138">
            <v>214449.23</v>
          </cell>
          <cell r="J138">
            <v>0</v>
          </cell>
          <cell r="K138">
            <v>490721.49</v>
          </cell>
          <cell r="L138">
            <v>900334.38</v>
          </cell>
          <cell r="M138">
            <v>459496.25</v>
          </cell>
          <cell r="N138">
            <v>203559.62</v>
          </cell>
          <cell r="O138">
            <v>3306878.31</v>
          </cell>
        </row>
        <row r="139">
          <cell r="C139">
            <v>5110</v>
          </cell>
          <cell r="D139" t="str">
            <v xml:space="preserve">Traveling and Subsistence (Overseas) Account 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C140">
            <v>5200</v>
          </cell>
          <cell r="D140" t="str">
            <v>Vehicle Maintenance Account</v>
          </cell>
          <cell r="E140">
            <v>788815.32000000007</v>
          </cell>
          <cell r="F140">
            <v>1590582.35</v>
          </cell>
          <cell r="G140">
            <v>863601.65</v>
          </cell>
          <cell r="H140">
            <v>676294.58</v>
          </cell>
          <cell r="I140">
            <v>942930.55999999982</v>
          </cell>
          <cell r="J140">
            <v>0</v>
          </cell>
          <cell r="K140">
            <v>4588435.0699999994</v>
          </cell>
          <cell r="L140">
            <v>2153390.64</v>
          </cell>
          <cell r="M140">
            <v>271412.88</v>
          </cell>
          <cell r="N140">
            <v>506600.7</v>
          </cell>
          <cell r="O140">
            <v>13759019.529999997</v>
          </cell>
        </row>
        <row r="141">
          <cell r="C141">
            <v>5210</v>
          </cell>
          <cell r="D141" t="str">
            <v>Vehicle Fuel, Oil  and Licenses Account</v>
          </cell>
          <cell r="E141">
            <v>2367851.15</v>
          </cell>
          <cell r="F141">
            <v>1919974.6899999997</v>
          </cell>
          <cell r="G141">
            <v>1386440</v>
          </cell>
          <cell r="H141">
            <v>554004.92000000004</v>
          </cell>
          <cell r="I141">
            <v>987949.34</v>
          </cell>
          <cell r="J141">
            <v>0</v>
          </cell>
          <cell r="K141">
            <v>8067143.6099999994</v>
          </cell>
          <cell r="L141">
            <v>2359698.36</v>
          </cell>
          <cell r="M141">
            <v>758089.6</v>
          </cell>
          <cell r="N141">
            <v>442738.02999999997</v>
          </cell>
          <cell r="O141">
            <v>19023530.389999997</v>
          </cell>
        </row>
        <row r="142">
          <cell r="C142">
            <v>5220</v>
          </cell>
          <cell r="D142" t="str">
            <v>Vehicle Hire Charges Account</v>
          </cell>
          <cell r="E142">
            <v>453716.4</v>
          </cell>
          <cell r="F142">
            <v>360000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4322940</v>
          </cell>
          <cell r="M142">
            <v>25955</v>
          </cell>
          <cell r="N142">
            <v>692200</v>
          </cell>
          <cell r="O142">
            <v>4711973.5299999993</v>
          </cell>
        </row>
        <row r="143">
          <cell r="C143">
            <v>5230</v>
          </cell>
          <cell r="D143" t="str">
            <v>Material Transport Charges Account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38549.229999999996</v>
          </cell>
          <cell r="L143">
            <v>0</v>
          </cell>
          <cell r="M143">
            <v>0</v>
          </cell>
          <cell r="N143">
            <v>0</v>
          </cell>
          <cell r="O143">
            <v>35393.799999999996</v>
          </cell>
        </row>
        <row r="144">
          <cell r="C144">
            <v>5300</v>
          </cell>
          <cell r="D144" t="str">
            <v>Office Supplies Account</v>
          </cell>
          <cell r="E144">
            <v>687877.38</v>
          </cell>
          <cell r="F144">
            <v>623316.38</v>
          </cell>
          <cell r="G144">
            <v>506909.14</v>
          </cell>
          <cell r="H144">
            <v>496852.75</v>
          </cell>
          <cell r="I144">
            <v>191877.15</v>
          </cell>
          <cell r="J144">
            <v>0</v>
          </cell>
          <cell r="K144">
            <v>332780.26</v>
          </cell>
          <cell r="L144">
            <v>211934.36</v>
          </cell>
          <cell r="M144">
            <v>53777.88</v>
          </cell>
          <cell r="N144">
            <v>301846</v>
          </cell>
          <cell r="O144">
            <v>3198707.41</v>
          </cell>
        </row>
        <row r="145">
          <cell r="C145">
            <v>5310</v>
          </cell>
          <cell r="D145" t="str">
            <v>Postage Account</v>
          </cell>
          <cell r="E145">
            <v>80099</v>
          </cell>
          <cell r="F145">
            <v>26657</v>
          </cell>
          <cell r="G145">
            <v>19521</v>
          </cell>
          <cell r="H145">
            <v>25520</v>
          </cell>
          <cell r="I145">
            <v>10980</v>
          </cell>
          <cell r="J145">
            <v>0</v>
          </cell>
          <cell r="K145">
            <v>20360</v>
          </cell>
          <cell r="L145">
            <v>7490</v>
          </cell>
          <cell r="M145">
            <v>10805</v>
          </cell>
          <cell r="N145">
            <v>49590</v>
          </cell>
          <cell r="O145">
            <v>267620</v>
          </cell>
        </row>
        <row r="146">
          <cell r="C146">
            <v>5320</v>
          </cell>
          <cell r="D146" t="str">
            <v>Telecommunications Account</v>
          </cell>
          <cell r="E146">
            <v>398497.01999999996</v>
          </cell>
          <cell r="F146">
            <v>797190.86300000001</v>
          </cell>
          <cell r="G146">
            <v>231043.41999999998</v>
          </cell>
          <cell r="H146">
            <v>382308.34999999992</v>
          </cell>
          <cell r="I146">
            <v>133165.79999999999</v>
          </cell>
          <cell r="J146">
            <v>0</v>
          </cell>
          <cell r="K146">
            <v>195380.57</v>
          </cell>
          <cell r="L146">
            <v>247114.35000000003</v>
          </cell>
          <cell r="M146">
            <v>170212.84999999998</v>
          </cell>
          <cell r="N146">
            <v>60122.649999999994</v>
          </cell>
          <cell r="O146">
            <v>2105681.7799999998</v>
          </cell>
        </row>
        <row r="147">
          <cell r="C147">
            <v>5321</v>
          </cell>
          <cell r="D147" t="str">
            <v>Communication Frequency Charges Account</v>
          </cell>
          <cell r="E147">
            <v>0</v>
          </cell>
          <cell r="F147">
            <v>0</v>
          </cell>
          <cell r="G147">
            <v>0</v>
          </cell>
          <cell r="H147">
            <v>8326.5300000000007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39433.5</v>
          </cell>
        </row>
        <row r="148">
          <cell r="C148">
            <v>5322</v>
          </cell>
          <cell r="D148" t="str">
            <v>Expenses on Data communication links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C149">
            <v>5323</v>
          </cell>
          <cell r="D149" t="str">
            <v>Expenses on Software licenses and  maintenance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C150">
            <v>5324</v>
          </cell>
          <cell r="D150" t="str">
            <v>Expenses on maintenance of IT related hardware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1489109.6400000001</v>
          </cell>
        </row>
        <row r="151">
          <cell r="D151" t="str">
            <v>TRANSPORT &amp; COMMUNICATION EXP. - SUB TOTAL</v>
          </cell>
          <cell r="E151">
            <v>5193449.0199999996</v>
          </cell>
          <cell r="F151">
            <v>5570505.7829999998</v>
          </cell>
          <cell r="G151">
            <v>3388845.14</v>
          </cell>
          <cell r="H151">
            <v>2177066.88</v>
          </cell>
          <cell r="I151">
            <v>2481352.0799999996</v>
          </cell>
          <cell r="J151">
            <v>0</v>
          </cell>
          <cell r="K151">
            <v>13733370.229999999</v>
          </cell>
          <cell r="L151">
            <v>10202902.089999998</v>
          </cell>
          <cell r="M151">
            <v>1749749.46</v>
          </cell>
          <cell r="N151">
            <v>2256657</v>
          </cell>
          <cell r="O151">
            <v>47937347.889999986</v>
          </cell>
        </row>
        <row r="152">
          <cell r="D152" t="str">
            <v xml:space="preserve"> DEPRECIATION</v>
          </cell>
          <cell r="O152">
            <v>0</v>
          </cell>
        </row>
        <row r="153">
          <cell r="C153">
            <v>6000</v>
          </cell>
          <cell r="D153" t="str">
            <v>Depreciation Account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D154" t="str">
            <v>DEPRECIATION - SUB TOTAL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D155" t="str">
            <v xml:space="preserve"> OTHER EXPENSES</v>
          </cell>
          <cell r="O155">
            <v>0</v>
          </cell>
        </row>
        <row r="156">
          <cell r="C156">
            <v>7100</v>
          </cell>
          <cell r="D156" t="str">
            <v>Hire and Lease Charges Account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C157">
            <v>7210</v>
          </cell>
          <cell r="D157" t="str">
            <v>Payment to Security Staff on Contract Account</v>
          </cell>
          <cell r="E157">
            <v>0</v>
          </cell>
          <cell r="F157">
            <v>3240675.42</v>
          </cell>
          <cell r="G157">
            <v>0</v>
          </cell>
          <cell r="H157">
            <v>0</v>
          </cell>
          <cell r="I157">
            <v>2552783.5100000002</v>
          </cell>
          <cell r="J157">
            <v>0</v>
          </cell>
          <cell r="K157">
            <v>0</v>
          </cell>
          <cell r="L157">
            <v>241934.47999999998</v>
          </cell>
          <cell r="M157">
            <v>0</v>
          </cell>
          <cell r="N157">
            <v>2009789.8000000003</v>
          </cell>
          <cell r="O157">
            <v>9275078.3599999994</v>
          </cell>
        </row>
        <row r="158">
          <cell r="C158">
            <v>7211</v>
          </cell>
          <cell r="D158" t="str">
            <v>Payment to Manpower Agencies Account</v>
          </cell>
          <cell r="E158">
            <v>0</v>
          </cell>
          <cell r="F158">
            <v>1853119.5999999999</v>
          </cell>
          <cell r="G158">
            <v>0</v>
          </cell>
          <cell r="H158">
            <v>1555460.31</v>
          </cell>
          <cell r="I158">
            <v>531598.28</v>
          </cell>
          <cell r="J158">
            <v>0</v>
          </cell>
          <cell r="K158">
            <v>0</v>
          </cell>
          <cell r="L158">
            <v>139753.74000000002</v>
          </cell>
          <cell r="M158">
            <v>243816</v>
          </cell>
          <cell r="N158">
            <v>1348231.43</v>
          </cell>
          <cell r="O158">
            <v>5760451.8699999992</v>
          </cell>
        </row>
        <row r="159">
          <cell r="C159">
            <v>7220</v>
          </cell>
          <cell r="D159" t="str">
            <v>Payments to Private Secretarial Service Account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C160">
            <v>7230</v>
          </cell>
          <cell r="D160" t="str">
            <v>Payments for RE cordinators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C161">
            <v>7300</v>
          </cell>
          <cell r="D161" t="str">
            <v>Clearance Charges Account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C162">
            <v>7310</v>
          </cell>
          <cell r="D162" t="str">
            <v>Custom Duty Account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C163">
            <v>7400</v>
          </cell>
          <cell r="D163" t="str">
            <v>Legal Fees Account</v>
          </cell>
          <cell r="E163">
            <v>0</v>
          </cell>
          <cell r="F163">
            <v>0</v>
          </cell>
          <cell r="G163">
            <v>22440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C164">
            <v>7405</v>
          </cell>
          <cell r="D164" t="str">
            <v xml:space="preserve">Annual Regulatory Levy (PUCSL) Account 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C165">
            <v>7410</v>
          </cell>
          <cell r="D165" t="str">
            <v>Audit Fees Account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C166">
            <v>7420</v>
          </cell>
          <cell r="D166" t="str">
            <v>Consultancy Fees Account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C167">
            <v>7430</v>
          </cell>
          <cell r="D167" t="str">
            <v>Research &amp; Development Expenditure Account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C168">
            <v>7440</v>
          </cell>
          <cell r="D168" t="str">
            <v>Inquiries Panel &amp; Interview Panel Account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560</v>
          </cell>
          <cell r="N168">
            <v>0</v>
          </cell>
          <cell r="O168">
            <v>0</v>
          </cell>
        </row>
        <row r="169">
          <cell r="C169">
            <v>7450</v>
          </cell>
          <cell r="D169" t="str">
            <v>Tender Board Members &amp; TEC Members Account</v>
          </cell>
          <cell r="E169">
            <v>0</v>
          </cell>
          <cell r="F169">
            <v>0</v>
          </cell>
          <cell r="G169">
            <v>0</v>
          </cell>
          <cell r="H169">
            <v>3500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C170">
            <v>7460</v>
          </cell>
          <cell r="D170" t="str">
            <v>Payment to the Engineering Services at Lakvijaya Power Station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C171">
            <v>7500</v>
          </cell>
          <cell r="D171" t="str">
            <v>Public Relations/Advertising Account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C172">
            <v>7501</v>
          </cell>
          <cell r="D172" t="str">
            <v>Energy Saving\Conservation Account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C173">
            <v>7510</v>
          </cell>
          <cell r="D173" t="str">
            <v>Entertainment Account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10643</v>
          </cell>
        </row>
        <row r="174">
          <cell r="C174">
            <v>7540</v>
          </cell>
          <cell r="D174" t="str">
            <v xml:space="preserve">Donation &amp; Social Cost Account 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C175">
            <v>7560</v>
          </cell>
          <cell r="D175" t="str">
            <v>Cleaning Service &amp; Pest Control Services Account</v>
          </cell>
          <cell r="E175">
            <v>537533.67999999993</v>
          </cell>
          <cell r="F175">
            <v>4425620.03</v>
          </cell>
          <cell r="G175">
            <v>0</v>
          </cell>
          <cell r="H175">
            <v>405229.37</v>
          </cell>
          <cell r="I175">
            <v>283884</v>
          </cell>
          <cell r="J175">
            <v>0</v>
          </cell>
          <cell r="K175">
            <v>0</v>
          </cell>
          <cell r="L175">
            <v>196279.37</v>
          </cell>
          <cell r="M175">
            <v>188774.60999999993</v>
          </cell>
          <cell r="N175">
            <v>3318679.23</v>
          </cell>
          <cell r="O175">
            <v>11158375.74</v>
          </cell>
        </row>
        <row r="176">
          <cell r="C176">
            <v>7600</v>
          </cell>
          <cell r="D176" t="str">
            <v>Insurance Premiums Account</v>
          </cell>
          <cell r="E176">
            <v>0</v>
          </cell>
          <cell r="F176">
            <v>29513.51</v>
          </cell>
          <cell r="G176">
            <v>0</v>
          </cell>
          <cell r="H176">
            <v>80141.11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108151.76999999999</v>
          </cell>
        </row>
        <row r="177">
          <cell r="C177">
            <v>7700</v>
          </cell>
          <cell r="D177" t="str">
            <v>Loss on Scrap  - Fixed Assets Account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C178">
            <v>7710</v>
          </cell>
          <cell r="D178" t="str">
            <v xml:space="preserve">Losses on Sale - Fixed Assets Account 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C179">
            <v>7711</v>
          </cell>
          <cell r="D179" t="str">
            <v>Cash Counter Payment Account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C180">
            <v>7720</v>
          </cell>
          <cell r="D180" t="str">
            <v xml:space="preserve">Bad Debts Written Off (Electricity ) Account 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C181">
            <v>7721</v>
          </cell>
          <cell r="D181" t="str">
            <v xml:space="preserve">Provision for Bad Debts (Electricity) Account 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C182">
            <v>7730</v>
          </cell>
          <cell r="D182" t="str">
            <v>Contingencies Account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C183">
            <v>7740</v>
          </cell>
          <cell r="D183" t="str">
            <v>25 % Electricity Bill For Eligible Government Institution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C184">
            <v>7750</v>
          </cell>
          <cell r="D184" t="str">
            <v>Repairs to Transformers Account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C185">
            <v>7800</v>
          </cell>
          <cell r="D185" t="str">
            <v>Miscellaneous Expense Account</v>
          </cell>
          <cell r="E185">
            <v>516925.20999999996</v>
          </cell>
          <cell r="F185">
            <v>440726.4</v>
          </cell>
          <cell r="G185">
            <v>185826.81</v>
          </cell>
          <cell r="H185">
            <v>87794</v>
          </cell>
          <cell r="I185">
            <v>16939.02</v>
          </cell>
          <cell r="J185">
            <v>0</v>
          </cell>
          <cell r="K185">
            <v>45737.81</v>
          </cell>
          <cell r="L185">
            <v>61036.71</v>
          </cell>
          <cell r="M185">
            <v>63290.569999999992</v>
          </cell>
          <cell r="N185">
            <v>11167</v>
          </cell>
          <cell r="O185">
            <v>1357907.85</v>
          </cell>
        </row>
        <row r="186">
          <cell r="C186">
            <v>7810</v>
          </cell>
          <cell r="D186" t="str">
            <v>Compensation to Third Parties Account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C187" t="str">
            <v>7805</v>
          </cell>
          <cell r="O187">
            <v>0</v>
          </cell>
        </row>
        <row r="188">
          <cell r="C188">
            <v>7820</v>
          </cell>
          <cell r="D188" t="str">
            <v>Repairs to Plant, Machinery &amp; Equipment Account</v>
          </cell>
          <cell r="E188">
            <v>202740</v>
          </cell>
          <cell r="F188">
            <v>131784.65</v>
          </cell>
          <cell r="G188">
            <v>88106.32</v>
          </cell>
          <cell r="H188">
            <v>99902</v>
          </cell>
          <cell r="I188">
            <v>228740.17</v>
          </cell>
          <cell r="J188">
            <v>0</v>
          </cell>
          <cell r="K188">
            <v>8314329.5300000012</v>
          </cell>
          <cell r="L188">
            <v>216551.75</v>
          </cell>
          <cell r="M188">
            <v>110651.75</v>
          </cell>
          <cell r="N188">
            <v>70098.39</v>
          </cell>
          <cell r="O188">
            <v>10597683.610000001</v>
          </cell>
        </row>
        <row r="189">
          <cell r="C189">
            <v>7830</v>
          </cell>
          <cell r="D189" t="str">
            <v>Way Leaves Account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C190">
            <v>7840</v>
          </cell>
          <cell r="D190" t="str">
            <v xml:space="preserve">Shifting of Electricity Lines Account 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C191">
            <v>7850</v>
          </cell>
          <cell r="D191" t="str">
            <v>Bad Debts Written Off Except Electricity Debts Account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C192">
            <v>7851</v>
          </cell>
          <cell r="D192" t="str">
            <v xml:space="preserve">Provision for Bad Debts (Other Than Electricity) Account 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15832099.562000059</v>
          </cell>
          <cell r="L192">
            <v>19524098.350000001</v>
          </cell>
          <cell r="M192">
            <v>1531692.7305059349</v>
          </cell>
          <cell r="N192">
            <v>0</v>
          </cell>
          <cell r="O192">
            <v>0</v>
          </cell>
        </row>
        <row r="193">
          <cell r="C193">
            <v>7852</v>
          </cell>
          <cell r="D193" t="str">
            <v>SLFRS Adjustment Control Account- Only for 2012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C194">
            <v>7853</v>
          </cell>
          <cell r="D194" t="str">
            <v>SLFRS Adjustment Control Account- Prior to 2012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C195">
            <v>7854</v>
          </cell>
          <cell r="D195" t="str">
            <v>Expenses on Cost Recovery Traning</v>
          </cell>
          <cell r="O195">
            <v>3521160</v>
          </cell>
        </row>
        <row r="196">
          <cell r="C196">
            <v>7855</v>
          </cell>
          <cell r="D196" t="str">
            <v>Valuation and surver of Lands and Buildings</v>
          </cell>
          <cell r="E196">
            <v>0</v>
          </cell>
          <cell r="F196">
            <v>2562000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D197" t="str">
            <v>OTHER EXPENSES - SUB TOTAL</v>
          </cell>
          <cell r="E197">
            <v>1257198.8899999999</v>
          </cell>
          <cell r="F197">
            <v>12683439.610000001</v>
          </cell>
          <cell r="G197">
            <v>296373.13</v>
          </cell>
          <cell r="H197">
            <v>2232026.79</v>
          </cell>
          <cell r="I197">
            <v>3613944.98</v>
          </cell>
          <cell r="J197">
            <v>0</v>
          </cell>
          <cell r="K197">
            <v>24192166.902000058</v>
          </cell>
          <cell r="L197">
            <v>20379654.400000002</v>
          </cell>
          <cell r="M197">
            <v>2138785.6605059346</v>
          </cell>
          <cell r="N197">
            <v>6757965.8500000006</v>
          </cell>
          <cell r="O197">
            <v>41789452.200000003</v>
          </cell>
        </row>
        <row r="198">
          <cell r="D198" t="str">
            <v>FINANCE COST</v>
          </cell>
          <cell r="O198">
            <v>0</v>
          </cell>
        </row>
        <row r="199">
          <cell r="C199">
            <v>8100</v>
          </cell>
          <cell r="D199" t="str">
            <v>Overdraft  Interest Account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C200">
            <v>8110</v>
          </cell>
          <cell r="D200" t="str">
            <v xml:space="preserve">Long / Short Term Interest Account 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C201">
            <v>8200</v>
          </cell>
          <cell r="D201" t="str">
            <v>Bank Charges Account</v>
          </cell>
          <cell r="E201">
            <v>0</v>
          </cell>
          <cell r="F201">
            <v>24276.91</v>
          </cell>
          <cell r="G201">
            <v>2500</v>
          </cell>
          <cell r="H201">
            <v>0</v>
          </cell>
          <cell r="I201">
            <v>76.5</v>
          </cell>
          <cell r="J201">
            <v>0</v>
          </cell>
          <cell r="K201">
            <v>1576.5</v>
          </cell>
          <cell r="L201">
            <v>0</v>
          </cell>
          <cell r="M201">
            <v>0</v>
          </cell>
          <cell r="N201">
            <v>0</v>
          </cell>
          <cell r="O201">
            <v>107433.98999999999</v>
          </cell>
        </row>
        <row r="202">
          <cell r="C202">
            <v>8300</v>
          </cell>
          <cell r="D202" t="str">
            <v>Exchange Rate Gain/ Losses  Account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C203">
            <v>8400</v>
          </cell>
          <cell r="D203" t="str">
            <v>Lease Interest Account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C204">
            <v>8500</v>
          </cell>
          <cell r="D204" t="str">
            <v>Project Loan Interest Account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C205">
            <v>8600</v>
          </cell>
          <cell r="D205" t="str">
            <v>Commission on Electricity Bill Collection Account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C206">
            <v>8700</v>
          </cell>
          <cell r="D206" t="str">
            <v>Delayed Interest on IPP Payments Account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C207">
            <v>8800</v>
          </cell>
          <cell r="D207" t="str">
            <v>Interest for delay payment to CPC       **</v>
          </cell>
        </row>
        <row r="208">
          <cell r="C208">
            <v>9100</v>
          </cell>
          <cell r="D208" t="str">
            <v>Debit Tax Account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C209">
            <v>9110</v>
          </cell>
          <cell r="D209" t="str">
            <v>Stamp Duty Account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C210">
            <v>9120</v>
          </cell>
          <cell r="D210" t="str">
            <v>Write Off  of Unrecoverable Economic Service Charge Account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C211">
            <v>9130</v>
          </cell>
          <cell r="D211" t="str">
            <v>Income Tax Account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C212">
            <v>9140</v>
          </cell>
          <cell r="D212" t="str">
            <v>Other Taxes Account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C213">
            <v>9200</v>
          </cell>
          <cell r="D213" t="str">
            <v>CON. FUND TAX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C214">
            <v>9300</v>
          </cell>
          <cell r="D214" t="str">
            <v>Deferred Tax Expense / (Income) - Net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7">
          <cell r="B7">
            <v>1100</v>
          </cell>
        </row>
      </sheetData>
      <sheetData sheetId="29"/>
      <sheetData sheetId="30"/>
      <sheetData sheetId="31">
        <row r="9">
          <cell r="B9">
            <v>1100</v>
          </cell>
        </row>
      </sheetData>
      <sheetData sheetId="32">
        <row r="9">
          <cell r="B9">
            <v>1100</v>
          </cell>
          <cell r="C9" t="str">
            <v>Energy Sales - generation to Transmission</v>
          </cell>
          <cell r="H9">
            <v>0</v>
          </cell>
        </row>
        <row r="10">
          <cell r="B10">
            <v>1105</v>
          </cell>
          <cell r="C10" t="str">
            <v>Energy Sales to Distribution Group</v>
          </cell>
          <cell r="H10">
            <v>0</v>
          </cell>
        </row>
        <row r="11">
          <cell r="B11">
            <v>1110</v>
          </cell>
          <cell r="C11" t="str">
            <v>Electricity Sales Heavy Supply Account</v>
          </cell>
          <cell r="H11">
            <v>0</v>
          </cell>
        </row>
        <row r="12">
          <cell r="B12">
            <v>1111</v>
          </cell>
          <cell r="C12" t="str">
            <v>Electricity Sales Heavy Supply  - LECO Account</v>
          </cell>
          <cell r="H12">
            <v>0</v>
          </cell>
        </row>
        <row r="13">
          <cell r="B13">
            <v>1120</v>
          </cell>
          <cell r="C13" t="str">
            <v>Electricity Sales Ordinary Supply Account</v>
          </cell>
          <cell r="H13">
            <v>0</v>
          </cell>
        </row>
        <row r="14">
          <cell r="B14">
            <v>1125</v>
          </cell>
          <cell r="C14" t="str">
            <v>Fixed charges on Electricity Bills</v>
          </cell>
          <cell r="H14">
            <v>0</v>
          </cell>
        </row>
        <row r="15">
          <cell r="B15">
            <v>1200</v>
          </cell>
          <cell r="C15" t="str">
            <v>Fuel Surcharge Account</v>
          </cell>
          <cell r="H15">
            <v>0</v>
          </cell>
        </row>
        <row r="16">
          <cell r="C16" t="str">
            <v>SUB TOTAL OF TURNOVER</v>
          </cell>
          <cell r="H16">
            <v>0</v>
          </cell>
        </row>
        <row r="17">
          <cell r="C17" t="str">
            <v xml:space="preserve"> INTEREST INCOME</v>
          </cell>
        </row>
        <row r="18">
          <cell r="B18">
            <v>1400</v>
          </cell>
          <cell r="C18" t="str">
            <v>Interest on Investment Account</v>
          </cell>
          <cell r="H18">
            <v>0</v>
          </cell>
        </row>
        <row r="19">
          <cell r="B19">
            <v>1420</v>
          </cell>
          <cell r="C19" t="str">
            <v>Interest on Staff Loan Account</v>
          </cell>
          <cell r="H19">
            <v>0</v>
          </cell>
        </row>
        <row r="20">
          <cell r="B20">
            <v>1425</v>
          </cell>
          <cell r="C20" t="str">
            <v>Rebate on Long Term Loan Interest Account</v>
          </cell>
          <cell r="H20">
            <v>0</v>
          </cell>
        </row>
        <row r="21">
          <cell r="C21" t="str">
            <v>SUB TOTAL OF INTEREST INCOME</v>
          </cell>
          <cell r="H21">
            <v>0</v>
          </cell>
        </row>
        <row r="22">
          <cell r="C22" t="str">
            <v>DIVIDEND INCOME</v>
          </cell>
        </row>
        <row r="23">
          <cell r="B23">
            <v>1210</v>
          </cell>
          <cell r="C23" t="str">
            <v xml:space="preserve">Dividends Account  </v>
          </cell>
          <cell r="H23">
            <v>0</v>
          </cell>
        </row>
        <row r="24">
          <cell r="C24" t="str">
            <v>SUB TOTAL OF DIVIDEND INCOME</v>
          </cell>
          <cell r="H24">
            <v>0</v>
          </cell>
        </row>
        <row r="25">
          <cell r="C25" t="str">
            <v xml:space="preserve"> OVERHEAD RECOVERIES</v>
          </cell>
        </row>
        <row r="26">
          <cell r="B26">
            <v>1330</v>
          </cell>
          <cell r="C26" t="str">
            <v>Overhead Recoveries Account</v>
          </cell>
          <cell r="H26">
            <v>0</v>
          </cell>
        </row>
        <row r="27">
          <cell r="B27">
            <v>1510</v>
          </cell>
          <cell r="C27" t="str">
            <v>Recoveries on House Rent Account</v>
          </cell>
          <cell r="H27">
            <v>0</v>
          </cell>
        </row>
        <row r="28">
          <cell r="B28">
            <v>1520</v>
          </cell>
          <cell r="C28" t="str">
            <v>Recoveries on Telephone Account</v>
          </cell>
          <cell r="H28">
            <v>0</v>
          </cell>
        </row>
        <row r="29">
          <cell r="B29">
            <v>1530</v>
          </cell>
          <cell r="C29" t="str">
            <v>Recoveries on Use of Motor Vehicle Account</v>
          </cell>
          <cell r="H29">
            <v>0</v>
          </cell>
        </row>
        <row r="30">
          <cell r="B30">
            <v>1540</v>
          </cell>
          <cell r="C30" t="str">
            <v>Recoveries on Circuit Bungalow Account</v>
          </cell>
          <cell r="H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H31">
            <v>0</v>
          </cell>
        </row>
        <row r="32">
          <cell r="C32" t="str">
            <v>SUB TOTAL OF OVERHEAD RECOVERIES</v>
          </cell>
          <cell r="H32">
            <v>0</v>
          </cell>
        </row>
        <row r="33">
          <cell r="C33" t="str">
            <v xml:space="preserve"> PROFIT / LOSS ON DISPOSAl OF PPE</v>
          </cell>
        </row>
        <row r="34">
          <cell r="B34">
            <v>1610</v>
          </cell>
          <cell r="C34" t="str">
            <v xml:space="preserve">Sale of  Fixed Assets (Disposal) Account </v>
          </cell>
          <cell r="H34">
            <v>0</v>
          </cell>
        </row>
        <row r="35">
          <cell r="B35">
            <v>1620</v>
          </cell>
          <cell r="C35" t="str">
            <v>Sale of  Scrap Account</v>
          </cell>
          <cell r="H35">
            <v>0</v>
          </cell>
        </row>
        <row r="36">
          <cell r="C36" t="str">
            <v>SUB TOTAL OF PROFIT / LOSS ON DISPOSAl OF PPE</v>
          </cell>
          <cell r="H36">
            <v>0</v>
          </cell>
        </row>
        <row r="37">
          <cell r="C37" t="str">
            <v xml:space="preserve"> MISSELANIOUS INCOME</v>
          </cell>
        </row>
        <row r="38">
          <cell r="B38">
            <v>1130</v>
          </cell>
          <cell r="C38" t="str">
            <v>Surcharge on Electricity Bills Account</v>
          </cell>
          <cell r="H38">
            <v>0</v>
          </cell>
        </row>
        <row r="39">
          <cell r="B39">
            <v>1300</v>
          </cell>
          <cell r="C39" t="str">
            <v>Miscellaneous Income Account</v>
          </cell>
          <cell r="H39">
            <v>0</v>
          </cell>
        </row>
        <row r="40">
          <cell r="B40">
            <v>1305</v>
          </cell>
          <cell r="C40" t="str">
            <v>Samurdhi Loan Interest  Account</v>
          </cell>
          <cell r="H40">
            <v>0</v>
          </cell>
        </row>
        <row r="41">
          <cell r="B41">
            <v>1310</v>
          </cell>
          <cell r="C41" t="str">
            <v>G.D. Income / G.I. Income Account</v>
          </cell>
          <cell r="H41">
            <v>0</v>
          </cell>
        </row>
        <row r="42">
          <cell r="B42">
            <v>1315</v>
          </cell>
          <cell r="C42" t="str">
            <v>Liquidated  Damages Account</v>
          </cell>
          <cell r="H42">
            <v>0</v>
          </cell>
        </row>
        <row r="43">
          <cell r="B43">
            <v>1320</v>
          </cell>
          <cell r="C43" t="str">
            <v>Re-usable Material Account</v>
          </cell>
          <cell r="H43">
            <v>0</v>
          </cell>
        </row>
        <row r="44">
          <cell r="B44">
            <v>1325</v>
          </cell>
          <cell r="C44" t="str">
            <v>Sale Of Ash</v>
          </cell>
          <cell r="H44">
            <v>0</v>
          </cell>
        </row>
        <row r="45">
          <cell r="B45">
            <v>1340</v>
          </cell>
          <cell r="C45" t="str">
            <v>Material Price Variance Account</v>
          </cell>
          <cell r="H45">
            <v>0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H46">
            <v>0</v>
          </cell>
        </row>
        <row r="47">
          <cell r="B47">
            <v>1360</v>
          </cell>
          <cell r="C47" t="str">
            <v>Penalty on Illicit Electricity Consumption Account</v>
          </cell>
          <cell r="H47">
            <v>0</v>
          </cell>
        </row>
        <row r="48">
          <cell r="B48">
            <v>1370</v>
          </cell>
          <cell r="C48" t="str">
            <v>Income on Cost Recovery Jobs Account</v>
          </cell>
          <cell r="H48">
            <v>0</v>
          </cell>
        </row>
        <row r="49">
          <cell r="B49">
            <v>1380</v>
          </cell>
          <cell r="C49" t="str">
            <v>Service Main Application Fee Account</v>
          </cell>
          <cell r="H49">
            <v>0</v>
          </cell>
        </row>
        <row r="50">
          <cell r="B50">
            <v>1385</v>
          </cell>
          <cell r="C50" t="str">
            <v>Income on Cost Recovery Jobs Account</v>
          </cell>
          <cell r="H50">
            <v>0</v>
          </cell>
        </row>
        <row r="51">
          <cell r="B51">
            <v>1390</v>
          </cell>
          <cell r="C51" t="str">
            <v>acturial gain or loss</v>
          </cell>
          <cell r="H51">
            <v>0</v>
          </cell>
        </row>
        <row r="52">
          <cell r="C52" t="str">
            <v>SUB TOTAL OF MISSELANIOUS INCOME</v>
          </cell>
          <cell r="H52">
            <v>0</v>
          </cell>
        </row>
        <row r="53">
          <cell r="C53" t="str">
            <v>TOTAL INCOME</v>
          </cell>
          <cell r="H53">
            <v>0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H55">
            <v>0</v>
          </cell>
        </row>
        <row r="56">
          <cell r="B56">
            <v>2110</v>
          </cell>
          <cell r="C56" t="str">
            <v>Management Staff Allowances Account</v>
          </cell>
          <cell r="H56">
            <v>0</v>
          </cell>
        </row>
        <row r="57">
          <cell r="B57">
            <v>2120</v>
          </cell>
          <cell r="C57" t="str">
            <v>All the related expenses on Board of Directors</v>
          </cell>
          <cell r="H57">
            <v>0</v>
          </cell>
        </row>
        <row r="58">
          <cell r="B58">
            <v>2200</v>
          </cell>
          <cell r="C58" t="str">
            <v>Other Staff Salaries Account</v>
          </cell>
          <cell r="H58">
            <v>0</v>
          </cell>
        </row>
        <row r="59">
          <cell r="B59">
            <v>2205</v>
          </cell>
          <cell r="C59" t="str">
            <v>Salary Arears &amp; Allowances</v>
          </cell>
          <cell r="H59">
            <v>0</v>
          </cell>
        </row>
        <row r="60">
          <cell r="B60">
            <v>2300</v>
          </cell>
          <cell r="C60" t="str">
            <v>Other Staff Overtime Account</v>
          </cell>
          <cell r="H60">
            <v>0</v>
          </cell>
        </row>
        <row r="61">
          <cell r="B61">
            <v>2310</v>
          </cell>
          <cell r="C61" t="str">
            <v>Other Staff Allowances Account</v>
          </cell>
          <cell r="H61">
            <v>0</v>
          </cell>
        </row>
        <row r="62">
          <cell r="B62">
            <v>2320</v>
          </cell>
          <cell r="C62" t="str">
            <v>Direct Labor at Normal Rate - Generation Account</v>
          </cell>
          <cell r="H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H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H64">
            <v>0</v>
          </cell>
        </row>
        <row r="65">
          <cell r="B65">
            <v>2330</v>
          </cell>
          <cell r="C65" t="str">
            <v>Direct Labor Overtime - Generation Account</v>
          </cell>
          <cell r="H65">
            <v>0</v>
          </cell>
        </row>
        <row r="66">
          <cell r="B66">
            <v>2331</v>
          </cell>
          <cell r="C66" t="str">
            <v>Direct Labor Overtime  - Rehabilitation</v>
          </cell>
          <cell r="H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H67">
            <v>0</v>
          </cell>
        </row>
        <row r="68">
          <cell r="B68">
            <v>2334</v>
          </cell>
          <cell r="C68" t="str">
            <v>Contract Employee Cost Account</v>
          </cell>
          <cell r="H68">
            <v>0</v>
          </cell>
        </row>
        <row r="69">
          <cell r="B69">
            <v>2340</v>
          </cell>
          <cell r="C69" t="str">
            <v>Labor Rate Variance Account</v>
          </cell>
          <cell r="H69">
            <v>0</v>
          </cell>
        </row>
        <row r="70">
          <cell r="B70">
            <v>2350</v>
          </cell>
          <cell r="C70" t="str">
            <v xml:space="preserve">Holiday Pay - Management Staff Account </v>
          </cell>
          <cell r="H70">
            <v>0</v>
          </cell>
        </row>
        <row r="71">
          <cell r="B71">
            <v>2355</v>
          </cell>
          <cell r="C71" t="str">
            <v xml:space="preserve">Holiday Pay - Other Staff Account </v>
          </cell>
          <cell r="H71">
            <v>0</v>
          </cell>
        </row>
        <row r="72">
          <cell r="B72">
            <v>2360</v>
          </cell>
          <cell r="C72" t="str">
            <v>Idle Time Account</v>
          </cell>
          <cell r="H72">
            <v>0</v>
          </cell>
        </row>
        <row r="73">
          <cell r="B73">
            <v>2500</v>
          </cell>
          <cell r="C73" t="str">
            <v>Bonus Account</v>
          </cell>
          <cell r="H73">
            <v>0</v>
          </cell>
        </row>
        <row r="74">
          <cell r="B74">
            <v>2510</v>
          </cell>
          <cell r="C74" t="str">
            <v>Incentive for Meter Readers Account</v>
          </cell>
          <cell r="H74">
            <v>0</v>
          </cell>
        </row>
        <row r="75">
          <cell r="B75">
            <v>2520</v>
          </cell>
          <cell r="C75" t="str">
            <v>Gratuity Payment Account</v>
          </cell>
          <cell r="H75">
            <v>0</v>
          </cell>
        </row>
        <row r="76">
          <cell r="B76">
            <v>2530</v>
          </cell>
          <cell r="C76" t="str">
            <v>Non Sick Leave Incentive Account</v>
          </cell>
          <cell r="H76">
            <v>0</v>
          </cell>
        </row>
        <row r="77">
          <cell r="B77">
            <v>2540</v>
          </cell>
          <cell r="C77" t="str">
            <v>Allowances to Trainees Account</v>
          </cell>
          <cell r="H77">
            <v>0</v>
          </cell>
        </row>
        <row r="78">
          <cell r="B78">
            <v>2550</v>
          </cell>
          <cell r="C78" t="str">
            <v>Compensation to CEB Employees Account</v>
          </cell>
          <cell r="H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H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H80">
            <v>0</v>
          </cell>
        </row>
        <row r="81">
          <cell r="B81">
            <v>2603</v>
          </cell>
          <cell r="C81" t="str">
            <v>Foreign Training CEB Account</v>
          </cell>
          <cell r="H81">
            <v>0</v>
          </cell>
        </row>
        <row r="82">
          <cell r="B82">
            <v>2610</v>
          </cell>
          <cell r="C82" t="str">
            <v>Library Facilities Account</v>
          </cell>
          <cell r="H82">
            <v>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H83">
            <v>0</v>
          </cell>
        </row>
        <row r="84">
          <cell r="B84">
            <v>2620</v>
          </cell>
          <cell r="C84" t="str">
            <v>Fees to Professional Institutions Account</v>
          </cell>
          <cell r="H84">
            <v>0</v>
          </cell>
        </row>
        <row r="85">
          <cell r="B85">
            <v>2630</v>
          </cell>
          <cell r="C85" t="str">
            <v>Staff Welfare Account</v>
          </cell>
          <cell r="H85">
            <v>0</v>
          </cell>
        </row>
        <row r="86">
          <cell r="B86">
            <v>2631</v>
          </cell>
          <cell r="C86" t="str">
            <v>Staff Welfare  - Medical Expenses Account</v>
          </cell>
          <cell r="H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H87">
            <v>0</v>
          </cell>
        </row>
        <row r="88">
          <cell r="B88">
            <v>2635</v>
          </cell>
          <cell r="C88" t="str">
            <v>Executive Officers Mobile Allowance Account</v>
          </cell>
          <cell r="H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H89">
            <v>0</v>
          </cell>
        </row>
        <row r="90">
          <cell r="B90">
            <v>2641</v>
          </cell>
          <cell r="C90" t="str">
            <v>Medical Expenses  - Out door Account</v>
          </cell>
          <cell r="H90">
            <v>0</v>
          </cell>
        </row>
        <row r="91">
          <cell r="B91">
            <v>2650</v>
          </cell>
          <cell r="C91" t="str">
            <v>Uniforms &amp; Protective Clothing Account</v>
          </cell>
          <cell r="H91">
            <v>0</v>
          </cell>
        </row>
        <row r="92">
          <cell r="B92">
            <v>2660</v>
          </cell>
          <cell r="C92" t="str">
            <v>Reimbursement of loan Interest Account</v>
          </cell>
          <cell r="H92">
            <v>0</v>
          </cell>
        </row>
        <row r="93">
          <cell r="B93">
            <v>2670</v>
          </cell>
          <cell r="C93" t="str">
            <v>PAYE Tax  Account</v>
          </cell>
          <cell r="H93">
            <v>0</v>
          </cell>
        </row>
        <row r="94">
          <cell r="B94">
            <v>2680</v>
          </cell>
          <cell r="C94" t="str">
            <v>CEB Pension Fund Account</v>
          </cell>
          <cell r="H94">
            <v>0</v>
          </cell>
        </row>
        <row r="95">
          <cell r="B95">
            <v>2681</v>
          </cell>
          <cell r="C95" t="str">
            <v>Pension to EXDGEU Account</v>
          </cell>
          <cell r="H95">
            <v>0</v>
          </cell>
        </row>
        <row r="96">
          <cell r="B96">
            <v>2700</v>
          </cell>
          <cell r="C96" t="str">
            <v>CEB Employee Trust Fund Account</v>
          </cell>
          <cell r="H96">
            <v>0</v>
          </cell>
        </row>
        <row r="97">
          <cell r="B97">
            <v>2710</v>
          </cell>
          <cell r="C97" t="str">
            <v>CEB Provident Fund Account</v>
          </cell>
          <cell r="H97">
            <v>0</v>
          </cell>
        </row>
        <row r="98">
          <cell r="C98" t="str">
            <v>personel cost on pension fund</v>
          </cell>
          <cell r="H98">
            <v>0</v>
          </cell>
        </row>
        <row r="99">
          <cell r="C99" t="str">
            <v>PERSONNEL EXPENSES - SUB TOTAL</v>
          </cell>
          <cell r="H99">
            <v>0</v>
          </cell>
        </row>
        <row r="100">
          <cell r="C100" t="str">
            <v xml:space="preserve"> MATERIAL COST</v>
          </cell>
        </row>
        <row r="101">
          <cell r="B101">
            <v>3100</v>
          </cell>
          <cell r="C101" t="str">
            <v>Power Station Fuel Account</v>
          </cell>
          <cell r="H101">
            <v>0</v>
          </cell>
        </row>
        <row r="102">
          <cell r="B102">
            <v>3110</v>
          </cell>
          <cell r="C102" t="str">
            <v>Purchased Power Thermal Account</v>
          </cell>
          <cell r="H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H103">
            <v>0</v>
          </cell>
        </row>
        <row r="104">
          <cell r="B104">
            <v>3115</v>
          </cell>
          <cell r="C104" t="str">
            <v>Energy Purchase from Transmission</v>
          </cell>
          <cell r="H104">
            <v>0</v>
          </cell>
        </row>
        <row r="105">
          <cell r="B105">
            <v>3120</v>
          </cell>
          <cell r="C105" t="str">
            <v>Rebate on Self  Generation Account</v>
          </cell>
          <cell r="H105">
            <v>0</v>
          </cell>
        </row>
        <row r="106">
          <cell r="B106">
            <v>3130</v>
          </cell>
          <cell r="C106" t="str">
            <v>Purchased Power  - Renewable Account</v>
          </cell>
          <cell r="H106">
            <v>0</v>
          </cell>
        </row>
        <row r="107">
          <cell r="B107">
            <v>3150</v>
          </cell>
          <cell r="C107" t="str">
            <v>Power Station Coal Account</v>
          </cell>
          <cell r="H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H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H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H110">
            <v>0</v>
          </cell>
        </row>
        <row r="111">
          <cell r="B111">
            <v>3203</v>
          </cell>
          <cell r="C111" t="str">
            <v>Lubricating Oil Account</v>
          </cell>
          <cell r="H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H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H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H114">
            <v>0</v>
          </cell>
        </row>
        <row r="115">
          <cell r="B115">
            <v>3212</v>
          </cell>
          <cell r="C115" t="str">
            <v>Expenses on Tug Boats and Barges</v>
          </cell>
          <cell r="H115">
            <v>0</v>
          </cell>
        </row>
        <row r="116">
          <cell r="B116">
            <v>3220</v>
          </cell>
          <cell r="C116" t="str">
            <v>Components/Construction Account</v>
          </cell>
          <cell r="H116">
            <v>0</v>
          </cell>
        </row>
        <row r="117">
          <cell r="B117">
            <v>3225</v>
          </cell>
          <cell r="C117" t="str">
            <v>Fixing of Boundary Meters Account</v>
          </cell>
          <cell r="H117">
            <v>0</v>
          </cell>
        </row>
        <row r="118">
          <cell r="B118">
            <v>3230</v>
          </cell>
          <cell r="C118" t="str">
            <v>Consumables Account</v>
          </cell>
          <cell r="H118">
            <v>0</v>
          </cell>
        </row>
        <row r="119">
          <cell r="B119">
            <v>3300</v>
          </cell>
          <cell r="C119" t="str">
            <v>Loose Tools Account</v>
          </cell>
          <cell r="H119">
            <v>0</v>
          </cell>
        </row>
        <row r="120">
          <cell r="B120">
            <v>3410</v>
          </cell>
          <cell r="C120" t="str">
            <v>Stores Discrepancies Account</v>
          </cell>
          <cell r="H120">
            <v>0</v>
          </cell>
        </row>
        <row r="121">
          <cell r="B121">
            <v>3420</v>
          </cell>
          <cell r="C121" t="str">
            <v>Damaged Stocks Account</v>
          </cell>
          <cell r="H121">
            <v>0</v>
          </cell>
        </row>
        <row r="122">
          <cell r="B122">
            <v>3430</v>
          </cell>
          <cell r="C122" t="str">
            <v>Stores Price Variances Account</v>
          </cell>
          <cell r="H122">
            <v>0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H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H124">
            <v>0</v>
          </cell>
        </row>
        <row r="125">
          <cell r="C125" t="str">
            <v>MATERIAL COST - SUB TOTAL</v>
          </cell>
          <cell r="H125">
            <v>0</v>
          </cell>
        </row>
        <row r="126">
          <cell r="C126" t="str">
            <v>ACCOMMODATION EXPENSES</v>
          </cell>
        </row>
        <row r="127">
          <cell r="B127">
            <v>4100</v>
          </cell>
          <cell r="C127" t="str">
            <v>Housing Rent and Rates Account</v>
          </cell>
          <cell r="H127">
            <v>0</v>
          </cell>
        </row>
        <row r="128">
          <cell r="B128">
            <v>4110</v>
          </cell>
          <cell r="C128" t="str">
            <v>Building Maintenance Account</v>
          </cell>
          <cell r="H128">
            <v>0</v>
          </cell>
        </row>
        <row r="129">
          <cell r="B129">
            <v>4120</v>
          </cell>
          <cell r="C129" t="str">
            <v>Circuit Bungalow Maintenance Account</v>
          </cell>
          <cell r="H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H130">
            <v>0</v>
          </cell>
        </row>
        <row r="131">
          <cell r="B131">
            <v>4300</v>
          </cell>
          <cell r="C131" t="str">
            <v>Electricity  Consumption Account</v>
          </cell>
          <cell r="H131">
            <v>0</v>
          </cell>
        </row>
        <row r="132">
          <cell r="B132">
            <v>4400</v>
          </cell>
          <cell r="C132" t="str">
            <v>Water Supply Charges Account</v>
          </cell>
          <cell r="H132">
            <v>0</v>
          </cell>
        </row>
        <row r="133">
          <cell r="C133" t="str">
            <v>ACCOMMODATION EXPENSES - SUB TOTAL</v>
          </cell>
          <cell r="H133">
            <v>0</v>
          </cell>
        </row>
        <row r="134">
          <cell r="C134" t="str">
            <v>TRANSPORT &amp; COMMUNICATION EXPENSES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H135">
            <v>0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H136">
            <v>0</v>
          </cell>
        </row>
        <row r="137">
          <cell r="B137">
            <v>5200</v>
          </cell>
          <cell r="C137" t="str">
            <v>Vehicle Maintenance Account</v>
          </cell>
          <cell r="H137">
            <v>0</v>
          </cell>
        </row>
        <row r="138">
          <cell r="B138">
            <v>5210</v>
          </cell>
          <cell r="C138" t="str">
            <v>Vehicle Fuel, Oil  and Licenses Account</v>
          </cell>
          <cell r="H138">
            <v>0</v>
          </cell>
        </row>
        <row r="139">
          <cell r="B139">
            <v>5220</v>
          </cell>
          <cell r="C139" t="str">
            <v>Vehicle Hire Charges Account</v>
          </cell>
          <cell r="H139">
            <v>0</v>
          </cell>
        </row>
        <row r="140">
          <cell r="B140">
            <v>5230</v>
          </cell>
          <cell r="C140" t="str">
            <v>Material Transport Charges Account</v>
          </cell>
          <cell r="H140">
            <v>0</v>
          </cell>
        </row>
        <row r="141">
          <cell r="B141">
            <v>5300</v>
          </cell>
          <cell r="C141" t="str">
            <v>Office Supplies Account</v>
          </cell>
          <cell r="H141">
            <v>0</v>
          </cell>
        </row>
        <row r="142">
          <cell r="B142">
            <v>5310</v>
          </cell>
          <cell r="C142" t="str">
            <v>Postage Account</v>
          </cell>
          <cell r="H142">
            <v>0</v>
          </cell>
        </row>
        <row r="143">
          <cell r="B143">
            <v>5320</v>
          </cell>
          <cell r="C143" t="str">
            <v>Telecommunications Account</v>
          </cell>
          <cell r="H143">
            <v>0</v>
          </cell>
        </row>
        <row r="144">
          <cell r="B144">
            <v>5321</v>
          </cell>
          <cell r="C144" t="str">
            <v>Communication Frequency Charges Account</v>
          </cell>
          <cell r="H144">
            <v>0</v>
          </cell>
        </row>
        <row r="145">
          <cell r="B145">
            <v>5322</v>
          </cell>
          <cell r="C145" t="str">
            <v>Expenses on Data communication links</v>
          </cell>
          <cell r="H145">
            <v>0</v>
          </cell>
        </row>
        <row r="146">
          <cell r="B146">
            <v>5323</v>
          </cell>
          <cell r="C146" t="str">
            <v>Expenses on Software licenses and  maintenance</v>
          </cell>
          <cell r="H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H147">
            <v>0</v>
          </cell>
        </row>
        <row r="148">
          <cell r="C148" t="str">
            <v>TRANSPORT &amp; COMMUNICATION EXP. - SUB TOTAL</v>
          </cell>
          <cell r="H148">
            <v>0</v>
          </cell>
        </row>
        <row r="149">
          <cell r="C149" t="str">
            <v xml:space="preserve"> DEPRECIATION</v>
          </cell>
        </row>
        <row r="150">
          <cell r="B150">
            <v>6000</v>
          </cell>
          <cell r="C150" t="str">
            <v>Depreciation Account</v>
          </cell>
          <cell r="H150">
            <v>0</v>
          </cell>
        </row>
        <row r="151">
          <cell r="C151" t="str">
            <v>DEPRECIATION - SUB TOTAL</v>
          </cell>
          <cell r="H151">
            <v>0</v>
          </cell>
        </row>
        <row r="152">
          <cell r="C152" t="str">
            <v xml:space="preserve"> OTHER EXPENSES</v>
          </cell>
        </row>
        <row r="153">
          <cell r="B153">
            <v>7100</v>
          </cell>
          <cell r="C153" t="str">
            <v>Hire and Lease Charges Account</v>
          </cell>
          <cell r="H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H154">
            <v>0</v>
          </cell>
        </row>
        <row r="155">
          <cell r="B155">
            <v>7211</v>
          </cell>
          <cell r="C155" t="str">
            <v>Payment to Manpower Agencies Account</v>
          </cell>
          <cell r="H155">
            <v>0</v>
          </cell>
        </row>
        <row r="156">
          <cell r="B156">
            <v>7220</v>
          </cell>
          <cell r="C156" t="str">
            <v>Payments to Private Secretarial Service Account</v>
          </cell>
          <cell r="H156">
            <v>0</v>
          </cell>
        </row>
        <row r="157">
          <cell r="B157">
            <v>7230</v>
          </cell>
          <cell r="C157" t="str">
            <v>Payments for RE cordinators</v>
          </cell>
          <cell r="H157">
            <v>0</v>
          </cell>
        </row>
        <row r="158">
          <cell r="B158">
            <v>7300</v>
          </cell>
          <cell r="C158" t="str">
            <v>Clearance Charges Account</v>
          </cell>
          <cell r="H158">
            <v>0</v>
          </cell>
        </row>
        <row r="159">
          <cell r="B159">
            <v>7310</v>
          </cell>
          <cell r="C159" t="str">
            <v>Custom Duty Account</v>
          </cell>
          <cell r="H159">
            <v>0</v>
          </cell>
        </row>
        <row r="160">
          <cell r="B160">
            <v>7400</v>
          </cell>
          <cell r="C160" t="str">
            <v>Legal Fees Account</v>
          </cell>
          <cell r="H160">
            <v>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H161">
            <v>0</v>
          </cell>
        </row>
        <row r="162">
          <cell r="B162">
            <v>7410</v>
          </cell>
          <cell r="C162" t="str">
            <v>Audit Fees Account</v>
          </cell>
          <cell r="H162">
            <v>0</v>
          </cell>
        </row>
        <row r="163">
          <cell r="B163">
            <v>7420</v>
          </cell>
          <cell r="C163" t="str">
            <v>Consultancy Fees Account</v>
          </cell>
          <cell r="H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H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H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H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H167">
            <v>0</v>
          </cell>
        </row>
        <row r="168">
          <cell r="B168">
            <v>7500</v>
          </cell>
          <cell r="C168" t="str">
            <v>Public Relations/Advertising Account</v>
          </cell>
          <cell r="H168">
            <v>0</v>
          </cell>
        </row>
        <row r="169">
          <cell r="B169">
            <v>7501</v>
          </cell>
          <cell r="C169" t="str">
            <v>Energy Saving\Conservation Account</v>
          </cell>
          <cell r="H169">
            <v>0</v>
          </cell>
        </row>
        <row r="170">
          <cell r="B170">
            <v>7510</v>
          </cell>
          <cell r="C170" t="str">
            <v>Entertainment Account</v>
          </cell>
          <cell r="H170">
            <v>0</v>
          </cell>
        </row>
        <row r="171">
          <cell r="B171">
            <v>7540</v>
          </cell>
          <cell r="C171" t="str">
            <v xml:space="preserve">Donation &amp; Social Cost Account </v>
          </cell>
          <cell r="H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H172">
            <v>0</v>
          </cell>
        </row>
        <row r="173">
          <cell r="B173">
            <v>7600</v>
          </cell>
          <cell r="C173" t="str">
            <v>Insurance Premiums Account</v>
          </cell>
          <cell r="H173">
            <v>0</v>
          </cell>
        </row>
        <row r="174">
          <cell r="B174">
            <v>7700</v>
          </cell>
          <cell r="C174" t="str">
            <v>Loss on Scrap  - Fixed Assets Account</v>
          </cell>
          <cell r="H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H175">
            <v>0</v>
          </cell>
        </row>
        <row r="176">
          <cell r="B176">
            <v>7711</v>
          </cell>
          <cell r="C176" t="str">
            <v>Cash Counter Payment Account</v>
          </cell>
          <cell r="H176">
            <v>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H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H178">
            <v>0</v>
          </cell>
        </row>
        <row r="179">
          <cell r="B179">
            <v>7730</v>
          </cell>
          <cell r="C179" t="str">
            <v>Contingencies Account</v>
          </cell>
          <cell r="H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H180">
            <v>0</v>
          </cell>
        </row>
        <row r="181">
          <cell r="B181">
            <v>7750</v>
          </cell>
          <cell r="C181" t="str">
            <v>Repairs to Transformers Account</v>
          </cell>
          <cell r="H181">
            <v>0</v>
          </cell>
        </row>
        <row r="182">
          <cell r="B182">
            <v>7800</v>
          </cell>
          <cell r="C182" t="str">
            <v>Miscellaneous Expense Account</v>
          </cell>
          <cell r="H182">
            <v>0</v>
          </cell>
        </row>
        <row r="183">
          <cell r="B183">
            <v>7810</v>
          </cell>
          <cell r="C183" t="str">
            <v>Compensation to Third Parties Account</v>
          </cell>
          <cell r="H183">
            <v>0</v>
          </cell>
        </row>
        <row r="184">
          <cell r="B184">
            <v>7820</v>
          </cell>
          <cell r="C184" t="str">
            <v>Repairs to Plant, Machinery &amp; Equipment Account</v>
          </cell>
          <cell r="H184">
            <v>0</v>
          </cell>
        </row>
        <row r="185">
          <cell r="B185">
            <v>7830</v>
          </cell>
          <cell r="C185" t="str">
            <v>Way Leaves Account</v>
          </cell>
          <cell r="H185">
            <v>0</v>
          </cell>
        </row>
        <row r="186">
          <cell r="B186">
            <v>7840</v>
          </cell>
          <cell r="C186" t="str">
            <v xml:space="preserve">Shifting of Electricity Lines Account </v>
          </cell>
          <cell r="H186">
            <v>0</v>
          </cell>
        </row>
        <row r="187">
          <cell r="B187">
            <v>7850</v>
          </cell>
          <cell r="C187" t="str">
            <v>Bad Debts Written Off Except Electricity Debts Account</v>
          </cell>
          <cell r="H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H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H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H190">
            <v>0</v>
          </cell>
        </row>
        <row r="191">
          <cell r="B191">
            <v>7854</v>
          </cell>
          <cell r="C191" t="str">
            <v>Expenses on Cost Recovery Traning</v>
          </cell>
          <cell r="H191">
            <v>0</v>
          </cell>
        </row>
        <row r="192">
          <cell r="C192" t="str">
            <v>OTHER EXPENSES - SUB TOTAL</v>
          </cell>
          <cell r="H192">
            <v>0</v>
          </cell>
        </row>
        <row r="193">
          <cell r="C193" t="str">
            <v>FINANCE COST</v>
          </cell>
        </row>
        <row r="194">
          <cell r="B194">
            <v>8100</v>
          </cell>
          <cell r="C194" t="str">
            <v>Overdraft  Interest Account</v>
          </cell>
          <cell r="H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H195">
            <v>0</v>
          </cell>
        </row>
        <row r="196">
          <cell r="B196">
            <v>8200</v>
          </cell>
          <cell r="C196" t="str">
            <v>Bank Charges Account</v>
          </cell>
          <cell r="H196">
            <v>0</v>
          </cell>
        </row>
        <row r="197">
          <cell r="B197">
            <v>8300</v>
          </cell>
          <cell r="C197" t="str">
            <v>Exchange Rate Gain/ Losses  Account</v>
          </cell>
          <cell r="H197">
            <v>0</v>
          </cell>
        </row>
        <row r="198">
          <cell r="B198">
            <v>8400</v>
          </cell>
          <cell r="C198" t="str">
            <v>Lease Interest Account</v>
          </cell>
          <cell r="H198">
            <v>0</v>
          </cell>
        </row>
        <row r="199">
          <cell r="B199">
            <v>8500</v>
          </cell>
          <cell r="C199" t="str">
            <v>Project Loan Interest Account</v>
          </cell>
          <cell r="H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H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H201">
            <v>0</v>
          </cell>
        </row>
        <row r="202">
          <cell r="B202">
            <v>9100</v>
          </cell>
          <cell r="C202" t="str">
            <v>Debit Tax Account</v>
          </cell>
          <cell r="H202">
            <v>0</v>
          </cell>
        </row>
        <row r="203">
          <cell r="B203">
            <v>9110</v>
          </cell>
          <cell r="C203" t="str">
            <v>Stamp Duty Account</v>
          </cell>
          <cell r="H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H204">
            <v>0</v>
          </cell>
        </row>
        <row r="205">
          <cell r="B205">
            <v>9130</v>
          </cell>
          <cell r="C205" t="str">
            <v>Income Tax Account</v>
          </cell>
          <cell r="H205">
            <v>0</v>
          </cell>
        </row>
        <row r="206">
          <cell r="B206">
            <v>9140</v>
          </cell>
          <cell r="C206" t="str">
            <v>Other Taxes Account</v>
          </cell>
          <cell r="H206">
            <v>0</v>
          </cell>
        </row>
        <row r="207">
          <cell r="B207">
            <v>9200</v>
          </cell>
          <cell r="C207" t="str">
            <v>CON. FUND TAX</v>
          </cell>
          <cell r="H207">
            <v>0</v>
          </cell>
        </row>
        <row r="208">
          <cell r="B208">
            <v>9300</v>
          </cell>
          <cell r="C208" t="str">
            <v>Deferred Tax Expense / (Income) - Net</v>
          </cell>
          <cell r="H208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erence"/>
      <sheetName val="MGS"/>
      <sheetName val="Sheet6"/>
      <sheetName val="CF Print (2)"/>
      <sheetName val="CONSOLIDATED TB"/>
      <sheetName val="CONSOLIDATED CS"/>
      <sheetName val="Annex 04"/>
      <sheetName val="Annex 05"/>
      <sheetName val="Annex 06"/>
      <sheetName val="Annex 07"/>
      <sheetName val="Annex 08"/>
      <sheetName val="Annex 09.1(a)"/>
      <sheetName val="Annex 09.1(b)"/>
      <sheetName val="PPE new "/>
      <sheetName val="Annex 09.3"/>
      <sheetName val="Annex 09.3 a"/>
      <sheetName val="10.4"/>
      <sheetName val="P&amp;L Presentation Format"/>
      <sheetName val="P&amp;l "/>
      <sheetName val="B.S "/>
      <sheetName val="B.S Notes"/>
      <sheetName val="TB-W&amp;AS "/>
      <sheetName val="P&amp;L Notes"/>
      <sheetName val="CF Print"/>
      <sheetName val="PPEnew"/>
      <sheetName val="Cu AC "/>
      <sheetName val="TB-960"/>
      <sheetName val="CS  -960"/>
      <sheetName val="TB -PMU"/>
      <sheetName val="TB NORTH WESTERN"/>
      <sheetName val="CS COLOMBO CITI "/>
      <sheetName val="CS W&amp;AS"/>
      <sheetName val="CS NORTH WESTERN"/>
      <sheetName val="Sam"/>
      <sheetName val="Char"/>
      <sheetName val="Sheet1"/>
      <sheetName val="Sheet2"/>
      <sheetName val="Sheet5"/>
      <sheetName val="Sheet3"/>
      <sheetName val="Inter transfer of PPE"/>
      <sheetName val="Sheet7"/>
      <sheetName val="15"/>
      <sheetName val="Sheet4"/>
      <sheetName val="Sheet8"/>
      <sheetName val="Breakup"/>
      <sheetName val="Sheet9"/>
      <sheetName val="10.5"/>
      <sheetName val="11.1"/>
      <sheetName val="11.2"/>
      <sheetName val="16"/>
      <sheetName val="13"/>
      <sheetName val="17"/>
      <sheetName val="18"/>
      <sheetName val="Current Account breakup"/>
      <sheetName val="Annex 01"/>
      <sheetName val="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C7">
            <v>1100</v>
          </cell>
          <cell r="D7" t="str">
            <v>Energy Sales - generation to Transmission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C8">
            <v>1105</v>
          </cell>
          <cell r="D8" t="str">
            <v>Energy Sales to Distribution Group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C9">
            <v>1110</v>
          </cell>
          <cell r="D9" t="str">
            <v>Electricity Sales Heavy Supply Account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C10">
            <v>1111</v>
          </cell>
          <cell r="D10" t="str">
            <v>Electricity Sales Heavy Supply  - LECO Account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C11">
            <v>1120</v>
          </cell>
          <cell r="D11" t="str">
            <v>Electricity Sales Ordinary Supply Account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C12">
            <v>1125</v>
          </cell>
          <cell r="D12" t="str">
            <v>Fixed charges on Electricity Bills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C13">
            <v>1200</v>
          </cell>
          <cell r="D13" t="str">
            <v>Fuel Surcharge Account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C14">
            <v>0</v>
          </cell>
          <cell r="D14" t="str">
            <v>SUB TOTAL OF TURNOVER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C15">
            <v>0</v>
          </cell>
          <cell r="D15" t="str">
            <v xml:space="preserve"> INTEREST INCOME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C16">
            <v>1400</v>
          </cell>
          <cell r="D16" t="str">
            <v>Interest on Investment Account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C17">
            <v>1420</v>
          </cell>
          <cell r="D17" t="str">
            <v>Interest on Staff Loan Account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C18">
            <v>1425</v>
          </cell>
          <cell r="D18" t="str">
            <v>Rebate on Long Term Loan Interest Account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C19">
            <v>0</v>
          </cell>
          <cell r="D19" t="str">
            <v>SUB TOTAL OF INTEREST INCOME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C20">
            <v>0</v>
          </cell>
          <cell r="D20" t="str">
            <v>DIVIDEND INCOME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C21">
            <v>1210</v>
          </cell>
          <cell r="D21" t="str">
            <v xml:space="preserve">Dividends Account  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C22">
            <v>0</v>
          </cell>
          <cell r="D22" t="str">
            <v>SUB TOTAL OF DIVIDEND INCOME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C23">
            <v>0</v>
          </cell>
          <cell r="D23" t="str">
            <v xml:space="preserve"> OVERHEAD RECOVERIES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C24">
            <v>1330</v>
          </cell>
          <cell r="D24" t="str">
            <v>Overhead Recoveries Account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28497</v>
          </cell>
          <cell r="J24">
            <v>0</v>
          </cell>
          <cell r="K24">
            <v>34108751.600000001</v>
          </cell>
          <cell r="L24">
            <v>65442233.5</v>
          </cell>
          <cell r="M24">
            <v>9618639.0999999996</v>
          </cell>
          <cell r="N24">
            <v>0</v>
          </cell>
          <cell r="O24">
            <v>79171021.399999991</v>
          </cell>
        </row>
        <row r="25">
          <cell r="C25">
            <v>1510</v>
          </cell>
          <cell r="D25" t="str">
            <v>Recoveries on House Rent Account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303437</v>
          </cell>
        </row>
        <row r="26">
          <cell r="C26">
            <v>1520</v>
          </cell>
          <cell r="D26" t="str">
            <v>Recoveries on Telephone Account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17827.690000000002</v>
          </cell>
        </row>
        <row r="27">
          <cell r="C27">
            <v>1530</v>
          </cell>
          <cell r="D27" t="str">
            <v>Recoveries on Use of Motor Vehicle Account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>
            <v>1540</v>
          </cell>
          <cell r="D28" t="str">
            <v>Recoveries on Circuit Bungalow Account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C29">
            <v>1550</v>
          </cell>
          <cell r="D29" t="str">
            <v>Recoveries of Damages to the CEB Assets Account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C30" t="str">
            <v>1551</v>
          </cell>
          <cell r="D30" t="str">
            <v>Income on amortized Government Grant***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C31" t="str">
            <v>1552</v>
          </cell>
          <cell r="D31" t="str">
            <v>Income on amortized Consumer Contribution***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C32">
            <v>0</v>
          </cell>
          <cell r="D32" t="str">
            <v>SUB TOTAL OF OVERHEAD RECOVERIES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28497</v>
          </cell>
          <cell r="J32">
            <v>0</v>
          </cell>
          <cell r="K32">
            <v>34108751.600000001</v>
          </cell>
          <cell r="L32">
            <v>65442233.5</v>
          </cell>
          <cell r="M32">
            <v>9618639.0999999996</v>
          </cell>
          <cell r="N32">
            <v>0</v>
          </cell>
          <cell r="O32">
            <v>79492286.089999989</v>
          </cell>
        </row>
        <row r="33">
          <cell r="C33">
            <v>0</v>
          </cell>
          <cell r="D33" t="str">
            <v xml:space="preserve"> PROFIT / LOSS ON DISPOSAl OF PPE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C34">
            <v>1610</v>
          </cell>
          <cell r="D34" t="str">
            <v xml:space="preserve">Sale of  Fixed Assets (Disposal) Account 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C35">
            <v>1620</v>
          </cell>
          <cell r="D35" t="str">
            <v>Sale of  Scrap Account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C36">
            <v>0</v>
          </cell>
          <cell r="D36" t="str">
            <v>SUB TOTAL OF PROFIT / LOSS ON DISPOSAl OF PPE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C37">
            <v>0</v>
          </cell>
          <cell r="D37" t="str">
            <v xml:space="preserve"> MISSELANIOUS INCOME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C38">
            <v>1130</v>
          </cell>
          <cell r="D38" t="str">
            <v>Surcharge on Electricity Bills Account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C39">
            <v>1300</v>
          </cell>
          <cell r="D39" t="str">
            <v>Miscellaneous Income Account</v>
          </cell>
          <cell r="E39">
            <v>48854.149999999994</v>
          </cell>
          <cell r="F39">
            <v>1338317</v>
          </cell>
          <cell r="G39">
            <v>-11379.950000000004</v>
          </cell>
          <cell r="H39">
            <v>158015</v>
          </cell>
          <cell r="I39">
            <v>35512.109999999986</v>
          </cell>
          <cell r="J39">
            <v>0</v>
          </cell>
          <cell r="K39">
            <v>239024.98</v>
          </cell>
          <cell r="L39">
            <v>272280.88</v>
          </cell>
          <cell r="M39">
            <v>26812.810000000005</v>
          </cell>
          <cell r="N39">
            <v>125035.13</v>
          </cell>
          <cell r="O39">
            <v>785446.23999999976</v>
          </cell>
        </row>
        <row r="40">
          <cell r="C40">
            <v>1305</v>
          </cell>
          <cell r="D40" t="str">
            <v>Samurdhi Loan Interest  Account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C41">
            <v>1310</v>
          </cell>
          <cell r="D41" t="str">
            <v>G.D. Income / G.I. Income Account</v>
          </cell>
          <cell r="E41">
            <v>0</v>
          </cell>
          <cell r="F41">
            <v>1792202.81</v>
          </cell>
          <cell r="G41">
            <v>0</v>
          </cell>
          <cell r="H41">
            <v>0</v>
          </cell>
          <cell r="I41">
            <v>-140251.54999999999</v>
          </cell>
          <cell r="J41">
            <v>0</v>
          </cell>
          <cell r="K41">
            <v>92157437.072778001</v>
          </cell>
          <cell r="L41">
            <v>42529029.980000004</v>
          </cell>
          <cell r="M41">
            <v>21294164.938750003</v>
          </cell>
          <cell r="N41">
            <v>1039262.5</v>
          </cell>
          <cell r="O41">
            <v>76343354.163332865</v>
          </cell>
        </row>
        <row r="42">
          <cell r="C42">
            <v>1315</v>
          </cell>
          <cell r="D42" t="str">
            <v>Liquidated  Damages Account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C43">
            <v>1320</v>
          </cell>
          <cell r="D43" t="str">
            <v>Re-usable Material Account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C44">
            <v>1325</v>
          </cell>
          <cell r="D44" t="str">
            <v>Sale Of Ash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C45">
            <v>1340</v>
          </cell>
          <cell r="D45" t="str">
            <v>Material Price Variance Account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C46">
            <v>1350</v>
          </cell>
          <cell r="D46" t="str">
            <v>Tender Fee/Non Refundable Deposits/ Forfeiture of Guarantees Account</v>
          </cell>
          <cell r="E46">
            <v>13900</v>
          </cell>
          <cell r="F46">
            <v>8400</v>
          </cell>
          <cell r="G46">
            <v>156000</v>
          </cell>
          <cell r="H46">
            <v>159500</v>
          </cell>
          <cell r="I46">
            <v>0</v>
          </cell>
          <cell r="J46">
            <v>0</v>
          </cell>
          <cell r="K46">
            <v>200</v>
          </cell>
          <cell r="L46">
            <v>1250</v>
          </cell>
          <cell r="M46">
            <v>1155</v>
          </cell>
          <cell r="N46">
            <v>0</v>
          </cell>
          <cell r="O46">
            <v>593550</v>
          </cell>
        </row>
        <row r="47">
          <cell r="C47">
            <v>1360</v>
          </cell>
          <cell r="D47" t="str">
            <v>Penalty on Illicit Electricity Consumption Account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C48">
            <v>1370</v>
          </cell>
          <cell r="D48" t="str">
            <v>Income on Cost Recovery Jobs Account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C49">
            <v>1380</v>
          </cell>
          <cell r="D49" t="str">
            <v>Service Main Application Fee Account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C50">
            <v>1385</v>
          </cell>
          <cell r="D50" t="str">
            <v>Income on Cost Recovery Jobs Account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C51">
            <v>1390</v>
          </cell>
          <cell r="D51" t="str">
            <v>acturial gain or loss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C52">
            <v>0</v>
          </cell>
          <cell r="D52" t="str">
            <v>SUB TOTAL OF MISSELANIOUS INCOME</v>
          </cell>
          <cell r="E52">
            <v>62754.149999999994</v>
          </cell>
          <cell r="F52">
            <v>3138919.81</v>
          </cell>
          <cell r="G52">
            <v>144620.04999999999</v>
          </cell>
          <cell r="H52">
            <v>317515</v>
          </cell>
          <cell r="I52">
            <v>-104739.44</v>
          </cell>
          <cell r="J52">
            <v>0</v>
          </cell>
          <cell r="K52">
            <v>92396662.052778006</v>
          </cell>
          <cell r="L52">
            <v>42802560.860000007</v>
          </cell>
          <cell r="M52">
            <v>21322132.748750001</v>
          </cell>
          <cell r="N52">
            <v>1164297.6299999999</v>
          </cell>
          <cell r="O52">
            <v>77722350.403332859</v>
          </cell>
        </row>
        <row r="53">
          <cell r="C53">
            <v>0</v>
          </cell>
          <cell r="D53" t="str">
            <v>TOTAL INCOME</v>
          </cell>
          <cell r="E53">
            <v>62754.149999999994</v>
          </cell>
          <cell r="F53">
            <v>3138919.81</v>
          </cell>
          <cell r="G53">
            <v>144620.04999999999</v>
          </cell>
          <cell r="H53">
            <v>317515</v>
          </cell>
          <cell r="I53">
            <v>-76242.44</v>
          </cell>
          <cell r="J53">
            <v>0</v>
          </cell>
          <cell r="K53">
            <v>126505413.652778</v>
          </cell>
          <cell r="L53">
            <v>108244794.36000001</v>
          </cell>
          <cell r="M53">
            <v>30940771.848750003</v>
          </cell>
          <cell r="N53">
            <v>1164297.6299999999</v>
          </cell>
          <cell r="O53">
            <v>157214636.49333286</v>
          </cell>
        </row>
        <row r="54">
          <cell r="C54">
            <v>0</v>
          </cell>
          <cell r="D54" t="str">
            <v xml:space="preserve"> PERSONNEL EXPENSES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C55">
            <v>2100</v>
          </cell>
          <cell r="D55" t="str">
            <v>Management Staff Salaries Account</v>
          </cell>
          <cell r="E55">
            <v>3665075</v>
          </cell>
          <cell r="F55">
            <v>12387170.949999999</v>
          </cell>
          <cell r="G55">
            <v>10189426.850000001</v>
          </cell>
          <cell r="H55">
            <v>4483056</v>
          </cell>
          <cell r="I55">
            <v>2564807</v>
          </cell>
          <cell r="J55">
            <v>0</v>
          </cell>
          <cell r="K55">
            <v>2862432.17</v>
          </cell>
          <cell r="L55">
            <v>3507554.67</v>
          </cell>
          <cell r="M55">
            <v>3328140</v>
          </cell>
          <cell r="N55">
            <v>1165690.33</v>
          </cell>
          <cell r="O55">
            <v>35679114.730000004</v>
          </cell>
        </row>
        <row r="56">
          <cell r="C56">
            <v>2110</v>
          </cell>
          <cell r="D56" t="str">
            <v>Management Staff Allowances Account</v>
          </cell>
          <cell r="E56">
            <v>642268.68000000005</v>
          </cell>
          <cell r="F56">
            <v>4429691.1900000004</v>
          </cell>
          <cell r="G56">
            <v>1919588.8399999999</v>
          </cell>
          <cell r="H56">
            <v>1132726.8999999999</v>
          </cell>
          <cell r="I56">
            <v>254354.70999999996</v>
          </cell>
          <cell r="J56">
            <v>0</v>
          </cell>
          <cell r="K56">
            <v>658679.62</v>
          </cell>
          <cell r="L56">
            <v>744379.17</v>
          </cell>
          <cell r="M56">
            <v>404105</v>
          </cell>
          <cell r="N56">
            <v>409705.33</v>
          </cell>
          <cell r="O56">
            <v>11442516.409999998</v>
          </cell>
        </row>
        <row r="57">
          <cell r="C57">
            <v>2120</v>
          </cell>
          <cell r="D57" t="str">
            <v>All the related expenses on Board of Directors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C58">
            <v>2200</v>
          </cell>
          <cell r="D58" t="str">
            <v>Other Staff Salaries Account</v>
          </cell>
          <cell r="E58">
            <v>41936985.580000006</v>
          </cell>
          <cell r="F58">
            <v>12280973.899999999</v>
          </cell>
          <cell r="G58">
            <v>8013482.7899999991</v>
          </cell>
          <cell r="H58">
            <v>4989480.8499999996</v>
          </cell>
          <cell r="I58">
            <v>4836570.25</v>
          </cell>
          <cell r="J58">
            <v>0</v>
          </cell>
          <cell r="K58">
            <v>10679910.119999999</v>
          </cell>
          <cell r="L58">
            <v>10204710.469999999</v>
          </cell>
          <cell r="M58">
            <v>3380246.33</v>
          </cell>
          <cell r="N58">
            <v>2642329.2300000004</v>
          </cell>
          <cell r="O58">
            <v>87796455.310000002</v>
          </cell>
        </row>
        <row r="59">
          <cell r="C59">
            <v>2205</v>
          </cell>
          <cell r="D59" t="str">
            <v>Salary Arears &amp; Allowances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C60">
            <v>2300</v>
          </cell>
          <cell r="D60" t="str">
            <v>Other Staff Overtime Account</v>
          </cell>
          <cell r="E60">
            <v>29620260.59</v>
          </cell>
          <cell r="F60">
            <v>3052124.4400000004</v>
          </cell>
          <cell r="G60">
            <v>2340628.92</v>
          </cell>
          <cell r="H60">
            <v>856034.57000000007</v>
          </cell>
          <cell r="I60">
            <v>931859.91</v>
          </cell>
          <cell r="J60">
            <v>0</v>
          </cell>
          <cell r="K60">
            <v>7634256.0600000005</v>
          </cell>
          <cell r="L60">
            <v>5196245.0200000005</v>
          </cell>
          <cell r="M60">
            <v>896194.10999999987</v>
          </cell>
          <cell r="N60">
            <v>1093663.28</v>
          </cell>
          <cell r="O60">
            <v>45219568.359999999</v>
          </cell>
        </row>
        <row r="61">
          <cell r="C61">
            <v>2310</v>
          </cell>
          <cell r="D61" t="str">
            <v>Other Staff Allowances Account</v>
          </cell>
          <cell r="E61">
            <v>1417186.92</v>
          </cell>
          <cell r="F61">
            <v>1137134.22</v>
          </cell>
          <cell r="G61">
            <v>667205.62999999989</v>
          </cell>
          <cell r="H61">
            <v>203282.83</v>
          </cell>
          <cell r="I61">
            <v>574071.33000000007</v>
          </cell>
          <cell r="J61">
            <v>0</v>
          </cell>
          <cell r="K61">
            <v>1009300.01</v>
          </cell>
          <cell r="L61">
            <v>1130166.3500000001</v>
          </cell>
          <cell r="M61">
            <v>251900</v>
          </cell>
          <cell r="N61">
            <v>411867.05</v>
          </cell>
          <cell r="O61">
            <v>5937098</v>
          </cell>
        </row>
        <row r="62">
          <cell r="C62">
            <v>2320</v>
          </cell>
          <cell r="D62" t="str">
            <v>Direct Labor at Normal Rate - Generation Account</v>
          </cell>
          <cell r="E62">
            <v>931499.33</v>
          </cell>
          <cell r="F62">
            <v>8434141.4400000013</v>
          </cell>
          <cell r="G62">
            <v>7839146.5699999994</v>
          </cell>
          <cell r="H62">
            <v>430281.67</v>
          </cell>
          <cell r="I62">
            <v>7505827.54</v>
          </cell>
          <cell r="J62">
            <v>0</v>
          </cell>
          <cell r="K62">
            <v>14422505.23</v>
          </cell>
          <cell r="L62">
            <v>1912881.69</v>
          </cell>
          <cell r="M62">
            <v>46920</v>
          </cell>
          <cell r="N62">
            <v>5463907.3200000003</v>
          </cell>
          <cell r="O62">
            <v>38397390.900000006</v>
          </cell>
        </row>
        <row r="63">
          <cell r="C63">
            <v>2321</v>
          </cell>
          <cell r="D63" t="str">
            <v>Direct Labor at Normal Rate - Rehabilitation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C64">
            <v>2322</v>
          </cell>
          <cell r="D64" t="str">
            <v>Direct Labor at Normal Rate  - Distribution Account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C65">
            <v>2330</v>
          </cell>
          <cell r="D65" t="str">
            <v>Direct Labor Overtime - Generation Account</v>
          </cell>
          <cell r="E65">
            <v>820479.35</v>
          </cell>
          <cell r="F65">
            <v>3012435.8</v>
          </cell>
          <cell r="G65">
            <v>3956245.44</v>
          </cell>
          <cell r="H65">
            <v>230079.35999999999</v>
          </cell>
          <cell r="I65">
            <v>527562.5</v>
          </cell>
          <cell r="J65">
            <v>0</v>
          </cell>
          <cell r="K65">
            <v>3841345</v>
          </cell>
          <cell r="L65">
            <v>193717.5</v>
          </cell>
          <cell r="M65">
            <v>0</v>
          </cell>
          <cell r="N65">
            <v>1652346.5700000003</v>
          </cell>
          <cell r="O65">
            <v>11970786.039999999</v>
          </cell>
        </row>
        <row r="66">
          <cell r="C66">
            <v>2331</v>
          </cell>
          <cell r="D66" t="str">
            <v>Direct Labor Overtime  - Rehabilitation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C67">
            <v>2332</v>
          </cell>
          <cell r="D67" t="str">
            <v xml:space="preserve">Direct Labor Overtime - Distribution Account 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C68">
            <v>2334</v>
          </cell>
          <cell r="D68" t="str">
            <v>Contract Employee Cost Account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C69">
            <v>2340</v>
          </cell>
          <cell r="D69" t="str">
            <v>Labor Rate Variance Account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-1955377.76</v>
          </cell>
          <cell r="J69">
            <v>0</v>
          </cell>
          <cell r="K69">
            <v>-4830913.2299999986</v>
          </cell>
          <cell r="L69">
            <v>-5660794.6399999987</v>
          </cell>
          <cell r="M69">
            <v>-595469.67999999993</v>
          </cell>
          <cell r="N69">
            <v>0</v>
          </cell>
          <cell r="O69">
            <v>-14385291.493000001</v>
          </cell>
        </row>
        <row r="70">
          <cell r="C70">
            <v>2350</v>
          </cell>
          <cell r="D70" t="str">
            <v xml:space="preserve">Holiday Pay - Management Staff Account </v>
          </cell>
          <cell r="E70">
            <v>361306.50000000006</v>
          </cell>
          <cell r="F70">
            <v>261891.4</v>
          </cell>
          <cell r="G70">
            <v>255272.37</v>
          </cell>
          <cell r="H70">
            <v>208047.94999999998</v>
          </cell>
          <cell r="I70">
            <v>56636.799999999996</v>
          </cell>
          <cell r="J70">
            <v>0</v>
          </cell>
          <cell r="K70">
            <v>0</v>
          </cell>
          <cell r="L70">
            <v>0</v>
          </cell>
          <cell r="M70">
            <v>10259.700000000001</v>
          </cell>
          <cell r="N70">
            <v>0</v>
          </cell>
          <cell r="O70">
            <v>1232825.05</v>
          </cell>
        </row>
        <row r="71">
          <cell r="C71">
            <v>2355</v>
          </cell>
          <cell r="D71" t="str">
            <v xml:space="preserve">Holiday Pay - Other Staff Account </v>
          </cell>
          <cell r="E71">
            <v>1015515.32</v>
          </cell>
          <cell r="F71">
            <v>308272.83</v>
          </cell>
          <cell r="G71">
            <v>208506.46999999997</v>
          </cell>
          <cell r="H71">
            <v>36051.879999999997</v>
          </cell>
          <cell r="I71">
            <v>140970.84</v>
          </cell>
          <cell r="J71">
            <v>0</v>
          </cell>
          <cell r="K71">
            <v>5443501.7299999995</v>
          </cell>
          <cell r="L71">
            <v>8221673.9500000002</v>
          </cell>
          <cell r="M71">
            <v>508191.94</v>
          </cell>
          <cell r="N71">
            <v>579955.70000000007</v>
          </cell>
          <cell r="O71">
            <v>13276151.4</v>
          </cell>
        </row>
        <row r="72">
          <cell r="C72">
            <v>2360</v>
          </cell>
          <cell r="D72" t="str">
            <v>Idle Time Account</v>
          </cell>
          <cell r="E72">
            <v>0</v>
          </cell>
          <cell r="F72">
            <v>23490.48</v>
          </cell>
          <cell r="G72">
            <v>0</v>
          </cell>
          <cell r="H72">
            <v>0</v>
          </cell>
          <cell r="I72">
            <v>776480</v>
          </cell>
          <cell r="J72">
            <v>0</v>
          </cell>
          <cell r="K72">
            <v>14030</v>
          </cell>
          <cell r="L72">
            <v>2458700</v>
          </cell>
          <cell r="M72">
            <v>0</v>
          </cell>
          <cell r="N72">
            <v>0</v>
          </cell>
          <cell r="O72">
            <v>3054366</v>
          </cell>
        </row>
        <row r="73">
          <cell r="C73">
            <v>2500</v>
          </cell>
          <cell r="D73" t="str">
            <v>Bonus Account</v>
          </cell>
          <cell r="E73">
            <v>4436234.1499999994</v>
          </cell>
          <cell r="F73">
            <v>3374512.34</v>
          </cell>
          <cell r="G73">
            <v>2636593.7000000002</v>
          </cell>
          <cell r="H73">
            <v>959534.01</v>
          </cell>
          <cell r="I73">
            <v>1901473.69</v>
          </cell>
          <cell r="J73">
            <v>0</v>
          </cell>
          <cell r="K73">
            <v>3811629.4000000004</v>
          </cell>
          <cell r="L73">
            <v>4417211.63</v>
          </cell>
          <cell r="M73">
            <v>1252484.3799999999</v>
          </cell>
          <cell r="N73">
            <v>907816.56</v>
          </cell>
          <cell r="O73">
            <v>230665.1</v>
          </cell>
        </row>
        <row r="74">
          <cell r="C74">
            <v>2510</v>
          </cell>
          <cell r="D74" t="str">
            <v>Incentive for Meter Readers Account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C75">
            <v>2520</v>
          </cell>
          <cell r="D75" t="str">
            <v>Gratuity Payment Account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C76">
            <v>2530</v>
          </cell>
          <cell r="D76" t="str">
            <v>Non Sick Leave Incentive Account</v>
          </cell>
          <cell r="E76">
            <v>2921526.3400000003</v>
          </cell>
          <cell r="F76">
            <v>2623212.19</v>
          </cell>
          <cell r="G76">
            <v>1930760.52</v>
          </cell>
          <cell r="H76">
            <v>670712.84</v>
          </cell>
          <cell r="I76">
            <v>1181817.2000000002</v>
          </cell>
          <cell r="J76">
            <v>0</v>
          </cell>
          <cell r="K76">
            <v>2746556.96</v>
          </cell>
          <cell r="L76">
            <v>3233101.39</v>
          </cell>
          <cell r="M76">
            <v>980114.12</v>
          </cell>
          <cell r="N76">
            <v>775188.25</v>
          </cell>
          <cell r="O76">
            <v>197405.69999999998</v>
          </cell>
        </row>
        <row r="77">
          <cell r="C77">
            <v>2540</v>
          </cell>
          <cell r="D77" t="str">
            <v>Allowances to Trainees Account</v>
          </cell>
          <cell r="E77">
            <v>0</v>
          </cell>
          <cell r="F77">
            <v>15149725</v>
          </cell>
          <cell r="G77">
            <v>218550</v>
          </cell>
          <cell r="H77">
            <v>123500</v>
          </cell>
          <cell r="I77">
            <v>0</v>
          </cell>
          <cell r="J77">
            <v>0</v>
          </cell>
          <cell r="K77">
            <v>310925</v>
          </cell>
          <cell r="L77">
            <v>230890</v>
          </cell>
          <cell r="M77">
            <v>475250</v>
          </cell>
          <cell r="N77">
            <v>52425</v>
          </cell>
          <cell r="O77">
            <v>53350460.240000002</v>
          </cell>
        </row>
        <row r="78">
          <cell r="C78">
            <v>2550</v>
          </cell>
          <cell r="D78" t="str">
            <v>Compensation to CEB Employees Account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C79">
            <v>2600</v>
          </cell>
          <cell r="D79" t="str">
            <v xml:space="preserve">Staff Training Account </v>
          </cell>
          <cell r="E79">
            <v>1006774.13</v>
          </cell>
          <cell r="F79">
            <v>0</v>
          </cell>
          <cell r="G79">
            <v>108000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187396</v>
          </cell>
        </row>
        <row r="80">
          <cell r="C80" t="str">
            <v>2601</v>
          </cell>
          <cell r="D80" t="str">
            <v>Payment for the examination matters of CEB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2242646</v>
          </cell>
        </row>
        <row r="81">
          <cell r="C81">
            <v>2602</v>
          </cell>
          <cell r="D81" t="str">
            <v xml:space="preserve">Local Training  Account </v>
          </cell>
          <cell r="E81">
            <v>0</v>
          </cell>
          <cell r="F81">
            <v>19342049.350000001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2497071.9999999995</v>
          </cell>
          <cell r="O81">
            <v>14300259.229999999</v>
          </cell>
        </row>
        <row r="82">
          <cell r="C82">
            <v>2603</v>
          </cell>
          <cell r="D82" t="str">
            <v>Foreign Training CEB Account</v>
          </cell>
          <cell r="E82">
            <v>0</v>
          </cell>
          <cell r="F82">
            <v>48707369.460000001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90935774.829999983</v>
          </cell>
        </row>
        <row r="83">
          <cell r="C83">
            <v>2610</v>
          </cell>
          <cell r="D83" t="str">
            <v>Library Facilities Account</v>
          </cell>
          <cell r="E83">
            <v>49200</v>
          </cell>
          <cell r="F83">
            <v>42487</v>
          </cell>
          <cell r="G83">
            <v>57323.75</v>
          </cell>
          <cell r="H83">
            <v>26910</v>
          </cell>
          <cell r="I83">
            <v>10015</v>
          </cell>
          <cell r="J83">
            <v>0</v>
          </cell>
          <cell r="K83">
            <v>10310</v>
          </cell>
          <cell r="L83">
            <v>12810</v>
          </cell>
          <cell r="M83">
            <v>18524</v>
          </cell>
          <cell r="N83">
            <v>24900</v>
          </cell>
          <cell r="O83">
            <v>167756.75</v>
          </cell>
        </row>
        <row r="84">
          <cell r="C84">
            <v>2615</v>
          </cell>
          <cell r="D84" t="str">
            <v xml:space="preserve">Expenses related to productivity, innovation and other competitions/ events organised for CEB employees 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C85">
            <v>2620</v>
          </cell>
          <cell r="D85" t="str">
            <v>Fees to Professional Institutions Account</v>
          </cell>
          <cell r="E85">
            <v>0</v>
          </cell>
          <cell r="F85">
            <v>141061.93</v>
          </cell>
          <cell r="G85">
            <v>16576</v>
          </cell>
          <cell r="H85">
            <v>79051</v>
          </cell>
          <cell r="I85">
            <v>47202.95</v>
          </cell>
          <cell r="J85">
            <v>0</v>
          </cell>
          <cell r="K85">
            <v>22918.69</v>
          </cell>
          <cell r="L85">
            <v>10080</v>
          </cell>
          <cell r="M85">
            <v>7392</v>
          </cell>
          <cell r="N85">
            <v>0</v>
          </cell>
          <cell r="O85">
            <v>205477.52999999997</v>
          </cell>
        </row>
        <row r="86">
          <cell r="C86">
            <v>2630</v>
          </cell>
          <cell r="D86" t="str">
            <v>Staff Welfare Account</v>
          </cell>
          <cell r="E86">
            <v>0</v>
          </cell>
          <cell r="F86">
            <v>1000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1260</v>
          </cell>
          <cell r="N86">
            <v>0</v>
          </cell>
          <cell r="O86">
            <v>1951</v>
          </cell>
        </row>
        <row r="87">
          <cell r="C87">
            <v>2631</v>
          </cell>
          <cell r="D87" t="str">
            <v>Staff Welfare  - Medical Expenses Account</v>
          </cell>
          <cell r="E87">
            <v>0</v>
          </cell>
          <cell r="F87">
            <v>0</v>
          </cell>
          <cell r="G87">
            <v>3000</v>
          </cell>
          <cell r="H87">
            <v>500</v>
          </cell>
          <cell r="I87">
            <v>3000</v>
          </cell>
          <cell r="J87">
            <v>0</v>
          </cell>
          <cell r="K87">
            <v>4000</v>
          </cell>
          <cell r="L87">
            <v>1000</v>
          </cell>
          <cell r="M87">
            <v>0</v>
          </cell>
          <cell r="N87">
            <v>0</v>
          </cell>
          <cell r="O87">
            <v>0</v>
          </cell>
        </row>
        <row r="88">
          <cell r="C88">
            <v>2632</v>
          </cell>
          <cell r="D88" t="str">
            <v>Staff Welfare  - Traveling &amp; Concession Account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C89">
            <v>2635</v>
          </cell>
          <cell r="D89" t="str">
            <v>Executive Officers Mobile Allowance Account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220716.44</v>
          </cell>
        </row>
        <row r="90">
          <cell r="C90">
            <v>2640</v>
          </cell>
          <cell r="D90" t="str">
            <v xml:space="preserve">Medical  Expenses - Indoor Account </v>
          </cell>
          <cell r="E90">
            <v>2076098.87</v>
          </cell>
          <cell r="F90">
            <v>2134742.2799999998</v>
          </cell>
          <cell r="G90">
            <v>1459765.31</v>
          </cell>
          <cell r="H90">
            <v>577284.30999999994</v>
          </cell>
          <cell r="I90">
            <v>702713.95</v>
          </cell>
          <cell r="J90">
            <v>0</v>
          </cell>
          <cell r="K90">
            <v>2122914.9899999998</v>
          </cell>
          <cell r="L90">
            <v>1714774.38</v>
          </cell>
          <cell r="M90">
            <v>485462.09999999992</v>
          </cell>
          <cell r="N90">
            <v>22400</v>
          </cell>
          <cell r="O90">
            <v>8594907.9499999993</v>
          </cell>
        </row>
        <row r="91">
          <cell r="C91">
            <v>2641</v>
          </cell>
          <cell r="D91" t="str">
            <v>Medical Expenses  - Out door Account</v>
          </cell>
          <cell r="E91">
            <v>1390992.2</v>
          </cell>
          <cell r="F91">
            <v>877830</v>
          </cell>
          <cell r="G91">
            <v>658310.53999999992</v>
          </cell>
          <cell r="H91">
            <v>299037.04000000004</v>
          </cell>
          <cell r="I91">
            <v>528962.16999999993</v>
          </cell>
          <cell r="J91">
            <v>0</v>
          </cell>
          <cell r="K91">
            <v>952732.47999999986</v>
          </cell>
          <cell r="L91">
            <v>1267255.43</v>
          </cell>
          <cell r="M91">
            <v>414063.47000000003</v>
          </cell>
          <cell r="N91">
            <v>236962.27000000002</v>
          </cell>
          <cell r="O91">
            <v>4830432.8499999996</v>
          </cell>
        </row>
        <row r="92">
          <cell r="C92">
            <v>2650</v>
          </cell>
          <cell r="D92" t="str">
            <v>Uniforms &amp; Protective Clothing Account</v>
          </cell>
          <cell r="E92">
            <v>7295330.2999999998</v>
          </cell>
          <cell r="F92">
            <v>31865</v>
          </cell>
          <cell r="G92">
            <v>220667.72</v>
          </cell>
          <cell r="H92">
            <v>0</v>
          </cell>
          <cell r="I92">
            <v>282953.82</v>
          </cell>
          <cell r="J92">
            <v>0</v>
          </cell>
          <cell r="K92">
            <v>886033.9</v>
          </cell>
          <cell r="L92">
            <v>233902.5</v>
          </cell>
          <cell r="M92">
            <v>54634.95</v>
          </cell>
          <cell r="N92">
            <v>117500</v>
          </cell>
          <cell r="O92">
            <v>1110691.53</v>
          </cell>
        </row>
        <row r="93">
          <cell r="C93">
            <v>2660</v>
          </cell>
          <cell r="D93" t="str">
            <v>Reimbursement of loan Interest Account</v>
          </cell>
          <cell r="E93">
            <v>9450726.6799999997</v>
          </cell>
          <cell r="F93">
            <v>5272828.54</v>
          </cell>
          <cell r="G93">
            <v>2815421.9699999993</v>
          </cell>
          <cell r="H93">
            <v>817522.77</v>
          </cell>
          <cell r="I93">
            <v>1841022.1900000002</v>
          </cell>
          <cell r="J93">
            <v>0</v>
          </cell>
          <cell r="K93">
            <v>4130896.0300000003</v>
          </cell>
          <cell r="L93">
            <v>7340248.2800000021</v>
          </cell>
          <cell r="M93">
            <v>1956685.73</v>
          </cell>
          <cell r="N93">
            <v>1097516.49</v>
          </cell>
          <cell r="O93">
            <v>30926735.43</v>
          </cell>
        </row>
        <row r="94">
          <cell r="C94">
            <v>2670</v>
          </cell>
          <cell r="D94" t="str">
            <v>PAYE Tax  Account</v>
          </cell>
          <cell r="E94">
            <v>1579062.2100000002</v>
          </cell>
          <cell r="F94">
            <v>1612390.8900000001</v>
          </cell>
          <cell r="G94">
            <v>1087934.48</v>
          </cell>
          <cell r="H94">
            <v>433504.92000000004</v>
          </cell>
          <cell r="I94">
            <v>204954.28999999998</v>
          </cell>
          <cell r="J94">
            <v>0</v>
          </cell>
          <cell r="K94">
            <v>1314131.6099999999</v>
          </cell>
          <cell r="L94">
            <v>1658519.39</v>
          </cell>
          <cell r="M94">
            <v>386827.14999999997</v>
          </cell>
          <cell r="N94">
            <v>225992.25</v>
          </cell>
          <cell r="O94">
            <v>6547106.6800000006</v>
          </cell>
        </row>
        <row r="95">
          <cell r="C95">
            <v>2680</v>
          </cell>
          <cell r="D95" t="str">
            <v>CEB Pension Fund Account</v>
          </cell>
          <cell r="E95">
            <v>3843527.96</v>
          </cell>
          <cell r="F95">
            <v>2798632.7600000002</v>
          </cell>
          <cell r="G95">
            <v>2164952.7600000002</v>
          </cell>
          <cell r="H95">
            <v>851172.74</v>
          </cell>
          <cell r="I95">
            <v>1522133.25</v>
          </cell>
          <cell r="J95">
            <v>0</v>
          </cell>
          <cell r="K95">
            <v>3178238.6000000006</v>
          </cell>
          <cell r="L95">
            <v>3795933.0400000005</v>
          </cell>
          <cell r="M95">
            <v>996736.33000000007</v>
          </cell>
          <cell r="N95">
            <v>751528.09</v>
          </cell>
          <cell r="O95">
            <v>16682282.409999998</v>
          </cell>
        </row>
        <row r="96">
          <cell r="C96">
            <v>2681</v>
          </cell>
          <cell r="D96" t="str">
            <v>Pension to EXDGEU Account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C97">
            <v>2682</v>
          </cell>
          <cell r="D97" t="str">
            <v>Pension Expenses***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C98">
            <v>2700</v>
          </cell>
          <cell r="D98" t="str">
            <v>CEB Employee Trust Fund Account</v>
          </cell>
          <cell r="E98">
            <v>1441322.87</v>
          </cell>
          <cell r="F98">
            <v>1050410.82</v>
          </cell>
          <cell r="G98">
            <v>814889.19000000006</v>
          </cell>
          <cell r="H98">
            <v>319189.76000000001</v>
          </cell>
          <cell r="I98">
            <v>570799.98</v>
          </cell>
          <cell r="J98">
            <v>0</v>
          </cell>
          <cell r="K98">
            <v>1192301.18</v>
          </cell>
          <cell r="L98">
            <v>1434648.5599999998</v>
          </cell>
          <cell r="M98">
            <v>373776.14999999997</v>
          </cell>
          <cell r="N98">
            <v>283900.7</v>
          </cell>
          <cell r="O98">
            <v>6285832.9399999995</v>
          </cell>
        </row>
        <row r="99">
          <cell r="C99">
            <v>2710</v>
          </cell>
          <cell r="D99" t="str">
            <v>CEB Provident Fund Account</v>
          </cell>
          <cell r="E99">
            <v>7206615.0999999996</v>
          </cell>
          <cell r="F99">
            <v>5252053.6500000013</v>
          </cell>
          <cell r="G99">
            <v>4074445.6900000004</v>
          </cell>
          <cell r="H99">
            <v>1595948.8800000001</v>
          </cell>
          <cell r="I99">
            <v>2853999.9299999997</v>
          </cell>
          <cell r="J99">
            <v>0</v>
          </cell>
          <cell r="K99">
            <v>5961506.1000000015</v>
          </cell>
          <cell r="L99">
            <v>7173241.7700000005</v>
          </cell>
          <cell r="M99">
            <v>1868880.6899999997</v>
          </cell>
          <cell r="N99">
            <v>1419503.45</v>
          </cell>
          <cell r="O99">
            <v>31429163.989999998</v>
          </cell>
        </row>
        <row r="100">
          <cell r="C100">
            <v>0</v>
          </cell>
          <cell r="D100" t="str">
            <v>PERSONNEL EXPENSES - SUB TOTAL</v>
          </cell>
          <cell r="E100">
            <v>123107988.07999998</v>
          </cell>
          <cell r="F100">
            <v>153739497.85999998</v>
          </cell>
          <cell r="G100">
            <v>53656695.50999999</v>
          </cell>
          <cell r="H100">
            <v>19322910.280000001</v>
          </cell>
          <cell r="I100">
            <v>27864811.539999999</v>
          </cell>
          <cell r="J100">
            <v>0</v>
          </cell>
          <cell r="K100">
            <v>68380141.650000006</v>
          </cell>
          <cell r="L100">
            <v>60432850.550000012</v>
          </cell>
          <cell r="M100">
            <v>17502578.470000003</v>
          </cell>
          <cell r="N100">
            <v>21832169.869999997</v>
          </cell>
          <cell r="O100">
            <v>508068643.30699998</v>
          </cell>
        </row>
        <row r="101">
          <cell r="C101">
            <v>0</v>
          </cell>
          <cell r="D101" t="str">
            <v xml:space="preserve"> MATERIAL COST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C102">
            <v>3100</v>
          </cell>
          <cell r="D102" t="str">
            <v>Power Station Fuel Account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C103">
            <v>3110</v>
          </cell>
          <cell r="D103" t="str">
            <v>Purchased Power Thermal Account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C104">
            <v>3114</v>
          </cell>
          <cell r="D104" t="str">
            <v>Energy Purchase from Generation to Transmission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C105">
            <v>3115</v>
          </cell>
          <cell r="D105" t="str">
            <v>Energy Purchase from Transmission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C106">
            <v>3120</v>
          </cell>
          <cell r="D106" t="str">
            <v>Rebate on Self  Generation Account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C107">
            <v>3130</v>
          </cell>
          <cell r="D107" t="str">
            <v>Purchased Power  - Renewable Account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C108">
            <v>3150</v>
          </cell>
          <cell r="D108" t="str">
            <v>Power Station Coal Account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C109">
            <v>3200</v>
          </cell>
          <cell r="D109" t="str">
            <v>Component / Routine Maintenance - Generation Account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4744.95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6629</v>
          </cell>
          <cell r="O109">
            <v>0</v>
          </cell>
        </row>
        <row r="110">
          <cell r="C110">
            <v>3201</v>
          </cell>
          <cell r="D110" t="str">
            <v xml:space="preserve">Component / Routine Maintenance-Transmission 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C111">
            <v>3202</v>
          </cell>
          <cell r="D111" t="str">
            <v>Component / Routine Maintenance - Distribution  Account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C112">
            <v>3203</v>
          </cell>
          <cell r="D112" t="str">
            <v>Lubricating Oil Account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C113">
            <v>3204</v>
          </cell>
          <cell r="D113" t="str">
            <v>Water Treatment Plant Chemicals Account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C114">
            <v>3210</v>
          </cell>
          <cell r="D114" t="str">
            <v>Components / Special Maintenance Account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C115">
            <v>3211</v>
          </cell>
          <cell r="D115" t="str">
            <v>Components / Routine Maintenance on Rehabilitation Account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C116">
            <v>3212</v>
          </cell>
          <cell r="D116" t="str">
            <v>Expenses on Tug Boats and Barges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C117">
            <v>3220</v>
          </cell>
          <cell r="D117" t="str">
            <v>Components/Construction Account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C118">
            <v>3225</v>
          </cell>
          <cell r="D118" t="str">
            <v>Fixing of Boundary Meters Account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C119">
            <v>3230</v>
          </cell>
          <cell r="D119" t="str">
            <v>Consumables Account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217298.31</v>
          </cell>
          <cell r="J119">
            <v>0</v>
          </cell>
          <cell r="K119">
            <v>362138</v>
          </cell>
          <cell r="L119">
            <v>0</v>
          </cell>
          <cell r="M119">
            <v>0</v>
          </cell>
          <cell r="N119">
            <v>0</v>
          </cell>
          <cell r="O119">
            <v>346853.95999999996</v>
          </cell>
        </row>
        <row r="120">
          <cell r="C120">
            <v>3300</v>
          </cell>
          <cell r="D120" t="str">
            <v>Loose Tools Account</v>
          </cell>
          <cell r="E120">
            <v>0</v>
          </cell>
          <cell r="F120">
            <v>0</v>
          </cell>
          <cell r="G120">
            <v>3800</v>
          </cell>
          <cell r="H120">
            <v>0</v>
          </cell>
          <cell r="I120">
            <v>265015.86</v>
          </cell>
          <cell r="J120">
            <v>0</v>
          </cell>
          <cell r="K120">
            <v>734896.86</v>
          </cell>
          <cell r="L120">
            <v>759774.5</v>
          </cell>
          <cell r="M120">
            <v>9788.75</v>
          </cell>
          <cell r="N120">
            <v>0</v>
          </cell>
          <cell r="O120">
            <v>1209317.4800000002</v>
          </cell>
        </row>
        <row r="121">
          <cell r="C121">
            <v>3410</v>
          </cell>
          <cell r="D121" t="str">
            <v>Stores Discrepancies Account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-11706.02</v>
          </cell>
          <cell r="N121">
            <v>0</v>
          </cell>
          <cell r="O121">
            <v>0</v>
          </cell>
        </row>
        <row r="122">
          <cell r="C122">
            <v>3420</v>
          </cell>
          <cell r="D122" t="str">
            <v>Damaged Stocks Account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C123">
            <v>3430</v>
          </cell>
          <cell r="D123" t="str">
            <v>Stores Price Variances Account</v>
          </cell>
          <cell r="E123">
            <v>0</v>
          </cell>
          <cell r="F123">
            <v>0</v>
          </cell>
          <cell r="G123">
            <v>51063.3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C124">
            <v>3450</v>
          </cell>
          <cell r="D124" t="str">
            <v>Annual Provision For Damaged Stocks &amp; Obsolete Stocks Account</v>
          </cell>
          <cell r="E124">
            <v>0</v>
          </cell>
          <cell r="F124">
            <v>0</v>
          </cell>
          <cell r="G124">
            <v>25245.37</v>
          </cell>
          <cell r="H124">
            <v>0</v>
          </cell>
          <cell r="I124">
            <v>-895349.26</v>
          </cell>
          <cell r="J124">
            <v>0</v>
          </cell>
          <cell r="K124">
            <v>-101732.9840000011</v>
          </cell>
          <cell r="L124">
            <v>1117037.42</v>
          </cell>
          <cell r="M124">
            <v>-8400</v>
          </cell>
          <cell r="N124">
            <v>0</v>
          </cell>
          <cell r="O124">
            <v>0</v>
          </cell>
        </row>
        <row r="125">
          <cell r="C125">
            <v>3500</v>
          </cell>
          <cell r="D125" t="str">
            <v>Damages &amp; Losses on Boards Property Account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C126">
            <v>3510</v>
          </cell>
          <cell r="D126" t="str">
            <v>Demurrages***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C127">
            <v>0</v>
          </cell>
          <cell r="D127" t="str">
            <v>MATERIAL COST - SUB TOTAL</v>
          </cell>
          <cell r="E127">
            <v>0</v>
          </cell>
          <cell r="F127">
            <v>0</v>
          </cell>
          <cell r="G127">
            <v>80108.67</v>
          </cell>
          <cell r="H127">
            <v>0</v>
          </cell>
          <cell r="I127">
            <v>-408290.14</v>
          </cell>
          <cell r="J127">
            <v>0</v>
          </cell>
          <cell r="K127">
            <v>995301.87599999877</v>
          </cell>
          <cell r="L127">
            <v>1876811.92</v>
          </cell>
          <cell r="M127">
            <v>-10317.27</v>
          </cell>
          <cell r="N127">
            <v>6629</v>
          </cell>
          <cell r="O127">
            <v>1556171.4400000002</v>
          </cell>
        </row>
        <row r="128">
          <cell r="C128">
            <v>0</v>
          </cell>
          <cell r="D128" t="str">
            <v>ACCOMMODATION EXPENSES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C129">
            <v>4100</v>
          </cell>
          <cell r="D129" t="str">
            <v>Housing Rent and Rates Account</v>
          </cell>
          <cell r="E129">
            <v>158308</v>
          </cell>
          <cell r="F129">
            <v>61256.58</v>
          </cell>
          <cell r="G129">
            <v>1111300</v>
          </cell>
          <cell r="H129">
            <v>5580.03</v>
          </cell>
          <cell r="I129">
            <v>192219.94</v>
          </cell>
          <cell r="J129">
            <v>0</v>
          </cell>
          <cell r="K129">
            <v>305400</v>
          </cell>
          <cell r="L129">
            <v>0</v>
          </cell>
          <cell r="M129">
            <v>0</v>
          </cell>
          <cell r="N129">
            <v>0</v>
          </cell>
          <cell r="O129">
            <v>1602606.81</v>
          </cell>
        </row>
        <row r="130">
          <cell r="C130">
            <v>4110</v>
          </cell>
          <cell r="D130" t="str">
            <v>Building Maintenance Account</v>
          </cell>
          <cell r="E130">
            <v>153292</v>
          </cell>
          <cell r="F130">
            <v>-2404925.3600000003</v>
          </cell>
          <cell r="G130">
            <v>3510990.1630000006</v>
          </cell>
          <cell r="H130">
            <v>109513</v>
          </cell>
          <cell r="I130">
            <v>2237232.08</v>
          </cell>
          <cell r="J130">
            <v>0</v>
          </cell>
          <cell r="K130">
            <v>813876.01</v>
          </cell>
          <cell r="L130">
            <v>660975.55000000005</v>
          </cell>
          <cell r="M130">
            <v>1956632.94</v>
          </cell>
          <cell r="N130">
            <v>8908318.870000001</v>
          </cell>
          <cell r="O130">
            <v>9110836.5899999999</v>
          </cell>
        </row>
        <row r="131">
          <cell r="C131">
            <v>4120</v>
          </cell>
          <cell r="D131" t="str">
            <v>Circuit Bungalow Maintenance Account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C132">
            <v>4200</v>
          </cell>
          <cell r="D132" t="str">
            <v>Furniture, fittings and Equipment Account</v>
          </cell>
          <cell r="E132">
            <v>462451.58999999997</v>
          </cell>
          <cell r="F132">
            <v>313935.40000000002</v>
          </cell>
          <cell r="G132">
            <v>164422.52000000002</v>
          </cell>
          <cell r="H132">
            <v>223253.11</v>
          </cell>
          <cell r="I132">
            <v>94580</v>
          </cell>
          <cell r="J132">
            <v>0</v>
          </cell>
          <cell r="K132">
            <v>432806.91</v>
          </cell>
          <cell r="L132">
            <v>324610</v>
          </cell>
          <cell r="M132">
            <v>101931.84</v>
          </cell>
          <cell r="N132">
            <v>107159</v>
          </cell>
          <cell r="O132">
            <v>1471581.68</v>
          </cell>
        </row>
        <row r="133">
          <cell r="C133">
            <v>4300</v>
          </cell>
          <cell r="D133" t="str">
            <v>Electricity  Consumption Account</v>
          </cell>
          <cell r="E133">
            <v>647075.23</v>
          </cell>
          <cell r="F133">
            <v>3544868.75</v>
          </cell>
          <cell r="G133">
            <v>773872.58000000007</v>
          </cell>
          <cell r="H133">
            <v>491032.04</v>
          </cell>
          <cell r="I133">
            <v>1258257.6700000002</v>
          </cell>
          <cell r="J133">
            <v>0</v>
          </cell>
          <cell r="K133">
            <v>1052528.06</v>
          </cell>
          <cell r="L133">
            <v>431182.54000000004</v>
          </cell>
          <cell r="M133">
            <v>10000</v>
          </cell>
          <cell r="N133">
            <v>1301369.97</v>
          </cell>
          <cell r="O133">
            <v>7450799.7300000014</v>
          </cell>
        </row>
        <row r="134">
          <cell r="C134">
            <v>4400</v>
          </cell>
          <cell r="D134" t="str">
            <v>Water Supply Charges Account</v>
          </cell>
          <cell r="E134">
            <v>270383</v>
          </cell>
          <cell r="F134">
            <v>114708.18</v>
          </cell>
          <cell r="G134">
            <v>1848719.54</v>
          </cell>
          <cell r="H134">
            <v>91800</v>
          </cell>
          <cell r="I134">
            <v>142321</v>
          </cell>
          <cell r="J134">
            <v>0</v>
          </cell>
          <cell r="K134">
            <v>827459.2</v>
          </cell>
          <cell r="L134">
            <v>72360</v>
          </cell>
          <cell r="M134">
            <v>72946.94</v>
          </cell>
          <cell r="N134">
            <v>0</v>
          </cell>
          <cell r="O134">
            <v>3366849.25</v>
          </cell>
        </row>
        <row r="135">
          <cell r="C135">
            <v>4310</v>
          </cell>
          <cell r="D135" t="str">
            <v>LP Gas for employee quarters Account***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C136">
            <v>0</v>
          </cell>
          <cell r="D136" t="str">
            <v>ACCOMMODATION EXPENSES - SUB TOTAL</v>
          </cell>
          <cell r="E136">
            <v>1691509.8199999998</v>
          </cell>
          <cell r="F136">
            <v>1629843.5499999996</v>
          </cell>
          <cell r="G136">
            <v>7409304.8030000003</v>
          </cell>
          <cell r="H136">
            <v>921178.17999999993</v>
          </cell>
          <cell r="I136">
            <v>3924610.6900000004</v>
          </cell>
          <cell r="J136">
            <v>0</v>
          </cell>
          <cell r="K136">
            <v>3432070.1799999997</v>
          </cell>
          <cell r="L136">
            <v>1489128.09</v>
          </cell>
          <cell r="M136">
            <v>2141511.7200000002</v>
          </cell>
          <cell r="N136">
            <v>10316847.840000002</v>
          </cell>
          <cell r="O136">
            <v>23002674.060000002</v>
          </cell>
        </row>
        <row r="137">
          <cell r="C137">
            <v>0</v>
          </cell>
          <cell r="D137" t="str">
            <v>TRANSPORT &amp; COMMUNICATION EXPENSES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C138">
            <v>5100</v>
          </cell>
          <cell r="D138" t="str">
            <v xml:space="preserve">Traveling and Subsistence (Local) Account </v>
          </cell>
          <cell r="E138">
            <v>416592.75</v>
          </cell>
          <cell r="F138">
            <v>252784.5</v>
          </cell>
          <cell r="G138">
            <v>381329.93</v>
          </cell>
          <cell r="H138">
            <v>33759.75</v>
          </cell>
          <cell r="I138">
            <v>214449.23</v>
          </cell>
          <cell r="J138">
            <v>0</v>
          </cell>
          <cell r="K138">
            <v>490721.49</v>
          </cell>
          <cell r="L138">
            <v>900334.38</v>
          </cell>
          <cell r="M138">
            <v>459496.25</v>
          </cell>
          <cell r="N138">
            <v>203559.62</v>
          </cell>
          <cell r="O138">
            <v>2224674.54</v>
          </cell>
        </row>
        <row r="139">
          <cell r="C139">
            <v>5110</v>
          </cell>
          <cell r="D139" t="str">
            <v xml:space="preserve">Traveling and Subsistence (Overseas) Account 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C140">
            <v>5200</v>
          </cell>
          <cell r="D140" t="str">
            <v>Vehicle Maintenance Account</v>
          </cell>
          <cell r="E140">
            <v>788815.32000000007</v>
          </cell>
          <cell r="F140">
            <v>1590582.35</v>
          </cell>
          <cell r="G140">
            <v>863601.65</v>
          </cell>
          <cell r="H140">
            <v>676294.58</v>
          </cell>
          <cell r="I140">
            <v>942930.55999999982</v>
          </cell>
          <cell r="J140">
            <v>0</v>
          </cell>
          <cell r="K140">
            <v>4588435.0699999994</v>
          </cell>
          <cell r="L140">
            <v>2153390.64</v>
          </cell>
          <cell r="M140">
            <v>271412.88</v>
          </cell>
          <cell r="N140">
            <v>506600.7</v>
          </cell>
          <cell r="O140">
            <v>8149605.6299999999</v>
          </cell>
        </row>
        <row r="141">
          <cell r="C141">
            <v>5210</v>
          </cell>
          <cell r="D141" t="str">
            <v>Vehicle Fuel, Oil  and Licenses Account</v>
          </cell>
          <cell r="E141">
            <v>2367851.15</v>
          </cell>
          <cell r="F141">
            <v>1919974.6899999997</v>
          </cell>
          <cell r="G141">
            <v>1386440</v>
          </cell>
          <cell r="H141">
            <v>554004.92000000004</v>
          </cell>
          <cell r="I141">
            <v>987949.34</v>
          </cell>
          <cell r="J141">
            <v>0</v>
          </cell>
          <cell r="K141">
            <v>8067143.6099999994</v>
          </cell>
          <cell r="L141">
            <v>2359698.36</v>
          </cell>
          <cell r="M141">
            <v>758089.6</v>
          </cell>
          <cell r="N141">
            <v>442738.02999999997</v>
          </cell>
          <cell r="O141">
            <v>15090758.699999999</v>
          </cell>
        </row>
        <row r="142">
          <cell r="C142">
            <v>5220</v>
          </cell>
          <cell r="D142" t="str">
            <v>Vehicle Hire Charges Account</v>
          </cell>
          <cell r="E142">
            <v>453716.4</v>
          </cell>
          <cell r="F142">
            <v>360000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4322940</v>
          </cell>
          <cell r="M142">
            <v>25955</v>
          </cell>
          <cell r="N142">
            <v>692200</v>
          </cell>
          <cell r="O142">
            <v>3701658.9299999997</v>
          </cell>
        </row>
        <row r="143">
          <cell r="C143">
            <v>5230</v>
          </cell>
          <cell r="D143" t="str">
            <v>Material Transport Charges Account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38549.229999999996</v>
          </cell>
          <cell r="L143">
            <v>0</v>
          </cell>
          <cell r="M143">
            <v>0</v>
          </cell>
          <cell r="N143">
            <v>0</v>
          </cell>
          <cell r="O143">
            <v>26000</v>
          </cell>
        </row>
        <row r="144">
          <cell r="C144">
            <v>5300</v>
          </cell>
          <cell r="D144" t="str">
            <v>Office Supplies Account</v>
          </cell>
          <cell r="E144">
            <v>687877.38</v>
          </cell>
          <cell r="F144">
            <v>623316.38</v>
          </cell>
          <cell r="G144">
            <v>506909.14</v>
          </cell>
          <cell r="H144">
            <v>496852.75</v>
          </cell>
          <cell r="I144">
            <v>191877.15</v>
          </cell>
          <cell r="J144">
            <v>0</v>
          </cell>
          <cell r="K144">
            <v>332780.26</v>
          </cell>
          <cell r="L144">
            <v>211934.36</v>
          </cell>
          <cell r="M144">
            <v>53777.88</v>
          </cell>
          <cell r="N144">
            <v>301846</v>
          </cell>
          <cell r="O144">
            <v>2342653.2599999998</v>
          </cell>
        </row>
        <row r="145">
          <cell r="C145">
            <v>5310</v>
          </cell>
          <cell r="D145" t="str">
            <v>Postage Account</v>
          </cell>
          <cell r="E145">
            <v>80099</v>
          </cell>
          <cell r="F145">
            <v>26657</v>
          </cell>
          <cell r="G145">
            <v>19521</v>
          </cell>
          <cell r="H145">
            <v>25520</v>
          </cell>
          <cell r="I145">
            <v>10980</v>
          </cell>
          <cell r="J145">
            <v>0</v>
          </cell>
          <cell r="K145">
            <v>20360</v>
          </cell>
          <cell r="L145">
            <v>7490</v>
          </cell>
          <cell r="M145">
            <v>10805</v>
          </cell>
          <cell r="N145">
            <v>49590</v>
          </cell>
          <cell r="O145">
            <v>212861</v>
          </cell>
        </row>
        <row r="146">
          <cell r="C146">
            <v>5320</v>
          </cell>
          <cell r="D146" t="str">
            <v>Telecommunications Account</v>
          </cell>
          <cell r="E146">
            <v>398497.01999999996</v>
          </cell>
          <cell r="F146">
            <v>797190.86300000001</v>
          </cell>
          <cell r="G146">
            <v>231043.41999999998</v>
          </cell>
          <cell r="H146">
            <v>382308.34999999992</v>
          </cell>
          <cell r="I146">
            <v>133165.79999999999</v>
          </cell>
          <cell r="J146">
            <v>0</v>
          </cell>
          <cell r="K146">
            <v>195380.57</v>
          </cell>
          <cell r="L146">
            <v>247114.35000000003</v>
          </cell>
          <cell r="M146">
            <v>170212.84999999998</v>
          </cell>
          <cell r="N146">
            <v>60122.649999999994</v>
          </cell>
          <cell r="O146">
            <v>1589686.84</v>
          </cell>
        </row>
        <row r="147">
          <cell r="C147">
            <v>5321</v>
          </cell>
          <cell r="D147" t="str">
            <v>Communication Frequency Charges Account</v>
          </cell>
          <cell r="E147">
            <v>0</v>
          </cell>
          <cell r="F147">
            <v>0</v>
          </cell>
          <cell r="G147">
            <v>0</v>
          </cell>
          <cell r="H147">
            <v>8326.5300000000007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10433.5</v>
          </cell>
        </row>
        <row r="148">
          <cell r="C148">
            <v>5322</v>
          </cell>
          <cell r="D148" t="str">
            <v>Expenses on Data communication links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C149">
            <v>5323</v>
          </cell>
          <cell r="D149" t="str">
            <v>Expenses on Software licenses and  maintenance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C150">
            <v>5324</v>
          </cell>
          <cell r="D150" t="str">
            <v>Expenses on maintenance of IT related hardware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832026.27</v>
          </cell>
        </row>
        <row r="151">
          <cell r="C151">
            <v>0</v>
          </cell>
          <cell r="D151" t="str">
            <v>TRANSPORT &amp; COMMUNICATION EXP. - SUB TOTAL</v>
          </cell>
          <cell r="E151">
            <v>5193449.0199999996</v>
          </cell>
          <cell r="F151">
            <v>5570505.7829999998</v>
          </cell>
          <cell r="G151">
            <v>3388845.14</v>
          </cell>
          <cell r="H151">
            <v>2177066.88</v>
          </cell>
          <cell r="I151">
            <v>2481352.0799999996</v>
          </cell>
          <cell r="J151">
            <v>0</v>
          </cell>
          <cell r="K151">
            <v>13733370.229999999</v>
          </cell>
          <cell r="L151">
            <v>10202902.089999998</v>
          </cell>
          <cell r="M151">
            <v>1749749.46</v>
          </cell>
          <cell r="N151">
            <v>2256657</v>
          </cell>
          <cell r="O151">
            <v>34180358.669999994</v>
          </cell>
        </row>
        <row r="152">
          <cell r="C152">
            <v>0</v>
          </cell>
          <cell r="D152" t="str">
            <v xml:space="preserve"> DEPRECIATION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C153">
            <v>6000</v>
          </cell>
          <cell r="D153" t="str">
            <v>Depreciation Account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C154">
            <v>0</v>
          </cell>
          <cell r="D154" t="str">
            <v>DEPRECIATION - SUB TOTAL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C155">
            <v>0</v>
          </cell>
          <cell r="D155" t="str">
            <v xml:space="preserve"> OTHER EXPENSES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C156">
            <v>7100</v>
          </cell>
          <cell r="D156" t="str">
            <v>Hire and Lease Charges Account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C157">
            <v>7210</v>
          </cell>
          <cell r="D157" t="str">
            <v>Payment to Security Staff on Contract Account</v>
          </cell>
          <cell r="E157">
            <v>0</v>
          </cell>
          <cell r="F157">
            <v>3240675.42</v>
          </cell>
          <cell r="G157">
            <v>0</v>
          </cell>
          <cell r="H157">
            <v>0</v>
          </cell>
          <cell r="I157">
            <v>2552783.5100000002</v>
          </cell>
          <cell r="J157">
            <v>0</v>
          </cell>
          <cell r="K157">
            <v>0</v>
          </cell>
          <cell r="L157">
            <v>241934.47999999998</v>
          </cell>
          <cell r="M157">
            <v>0</v>
          </cell>
          <cell r="N157">
            <v>2009789.8000000003</v>
          </cell>
          <cell r="O157">
            <v>6820018.6500000004</v>
          </cell>
        </row>
        <row r="158">
          <cell r="C158">
            <v>7211</v>
          </cell>
          <cell r="D158" t="str">
            <v>Payment to Manpower Agencies Account</v>
          </cell>
          <cell r="E158">
            <v>0</v>
          </cell>
          <cell r="F158">
            <v>1853119.5999999999</v>
          </cell>
          <cell r="G158">
            <v>0</v>
          </cell>
          <cell r="H158">
            <v>1555460.31</v>
          </cell>
          <cell r="I158">
            <v>531598.28</v>
          </cell>
          <cell r="J158">
            <v>0</v>
          </cell>
          <cell r="K158">
            <v>0</v>
          </cell>
          <cell r="L158">
            <v>139753.74000000002</v>
          </cell>
          <cell r="M158">
            <v>243816</v>
          </cell>
          <cell r="N158">
            <v>1348231.43</v>
          </cell>
          <cell r="O158">
            <v>4538683.8899999997</v>
          </cell>
        </row>
        <row r="159">
          <cell r="C159">
            <v>7220</v>
          </cell>
          <cell r="D159" t="str">
            <v>Payments to Private Secretarial Service Account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C160">
            <v>7230</v>
          </cell>
          <cell r="D160" t="str">
            <v>Payments for RE cordinators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C161">
            <v>7300</v>
          </cell>
          <cell r="D161" t="str">
            <v>Clearance Charges Account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C162">
            <v>7310</v>
          </cell>
          <cell r="D162" t="str">
            <v>Custom Duty Account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C163">
            <v>7400</v>
          </cell>
          <cell r="D163" t="str">
            <v>Legal Fees Account</v>
          </cell>
          <cell r="E163">
            <v>0</v>
          </cell>
          <cell r="F163">
            <v>0</v>
          </cell>
          <cell r="G163">
            <v>22440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C164">
            <v>7405</v>
          </cell>
          <cell r="D164" t="str">
            <v xml:space="preserve">Annual Regulatory Levy (PUCSL) Account 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C165">
            <v>7410</v>
          </cell>
          <cell r="D165" t="str">
            <v>Audit Fees Account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C166">
            <v>7420</v>
          </cell>
          <cell r="D166" t="str">
            <v>Consultancy Fees Account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C167">
            <v>7430</v>
          </cell>
          <cell r="D167" t="str">
            <v>Research &amp; Development Expenditure Account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C168">
            <v>7440</v>
          </cell>
          <cell r="D168" t="str">
            <v>Inquiries Panel &amp; Interview Panel Account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560</v>
          </cell>
          <cell r="N168">
            <v>0</v>
          </cell>
          <cell r="O168">
            <v>0</v>
          </cell>
        </row>
        <row r="169">
          <cell r="C169">
            <v>7450</v>
          </cell>
          <cell r="D169" t="str">
            <v>Tender Board Members &amp; TEC Members Account</v>
          </cell>
          <cell r="E169">
            <v>0</v>
          </cell>
          <cell r="F169">
            <v>0</v>
          </cell>
          <cell r="G169">
            <v>0</v>
          </cell>
          <cell r="H169">
            <v>3500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C170">
            <v>7460</v>
          </cell>
          <cell r="D170" t="str">
            <v>Payment to the Engineering Services at Lakvijaya Power Station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C171">
            <v>7500</v>
          </cell>
          <cell r="D171" t="str">
            <v>Public Relations/Advertising Account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C172">
            <v>7501</v>
          </cell>
          <cell r="D172" t="str">
            <v>Energy Saving\Conservation Account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C173">
            <v>7510</v>
          </cell>
          <cell r="D173" t="str">
            <v>Entertainment Account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3151</v>
          </cell>
        </row>
        <row r="174">
          <cell r="C174">
            <v>7540</v>
          </cell>
          <cell r="D174" t="str">
            <v xml:space="preserve">Donation &amp; Social Cost Account 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C175">
            <v>7560</v>
          </cell>
          <cell r="D175" t="str">
            <v>Cleaning Service &amp; Pest Control Services Account</v>
          </cell>
          <cell r="E175">
            <v>537533.67999999993</v>
          </cell>
          <cell r="F175">
            <v>4425620.03</v>
          </cell>
          <cell r="G175">
            <v>0</v>
          </cell>
          <cell r="H175">
            <v>405229.37</v>
          </cell>
          <cell r="I175">
            <v>283884</v>
          </cell>
          <cell r="J175">
            <v>0</v>
          </cell>
          <cell r="K175">
            <v>0</v>
          </cell>
          <cell r="L175">
            <v>196279.37</v>
          </cell>
          <cell r="M175">
            <v>188774.60999999993</v>
          </cell>
          <cell r="N175">
            <v>3318679.23</v>
          </cell>
          <cell r="O175">
            <v>8021277.2400000002</v>
          </cell>
        </row>
        <row r="176">
          <cell r="C176">
            <v>7600</v>
          </cell>
          <cell r="D176" t="str">
            <v>Insurance Premiums Account</v>
          </cell>
          <cell r="E176">
            <v>0</v>
          </cell>
          <cell r="F176">
            <v>29513.51</v>
          </cell>
          <cell r="G176">
            <v>0</v>
          </cell>
          <cell r="H176">
            <v>80141.11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27499.34</v>
          </cell>
        </row>
        <row r="177">
          <cell r="C177">
            <v>7700</v>
          </cell>
          <cell r="D177" t="str">
            <v>Loss on Scrap  - Fixed Assets Account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C178">
            <v>7710</v>
          </cell>
          <cell r="D178" t="str">
            <v xml:space="preserve">Losses on Sale - Fixed Assets Account 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C179">
            <v>7711</v>
          </cell>
          <cell r="D179" t="str">
            <v>Cash Counter Payment Account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C180">
            <v>7720</v>
          </cell>
          <cell r="D180" t="str">
            <v xml:space="preserve">Bad Debts Written Off (Electricity ) Account 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C181">
            <v>7721</v>
          </cell>
          <cell r="D181" t="str">
            <v xml:space="preserve">Provision for Bad Debts (Electricity) Account 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C182">
            <v>7730</v>
          </cell>
          <cell r="D182" t="str">
            <v>Contingencies Account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C183">
            <v>7740</v>
          </cell>
          <cell r="D183" t="str">
            <v>25 % Electricity Bill For Eligible Government Institution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C184">
            <v>7750</v>
          </cell>
          <cell r="D184" t="str">
            <v>Repairs to Transformers Account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C185">
            <v>7800</v>
          </cell>
          <cell r="D185" t="str">
            <v>Miscellaneous Expense Account</v>
          </cell>
          <cell r="E185">
            <v>516925.20999999996</v>
          </cell>
          <cell r="F185">
            <v>440726.4</v>
          </cell>
          <cell r="G185">
            <v>185826.81</v>
          </cell>
          <cell r="H185">
            <v>87794</v>
          </cell>
          <cell r="I185">
            <v>16939.02</v>
          </cell>
          <cell r="J185">
            <v>0</v>
          </cell>
          <cell r="K185">
            <v>45737.81</v>
          </cell>
          <cell r="L185">
            <v>61036.71</v>
          </cell>
          <cell r="M185">
            <v>63290.569999999992</v>
          </cell>
          <cell r="N185">
            <v>11167</v>
          </cell>
          <cell r="O185">
            <v>994687.4</v>
          </cell>
        </row>
        <row r="186">
          <cell r="C186">
            <v>7810</v>
          </cell>
          <cell r="D186" t="str">
            <v>Compensation to Third Parties Account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C187" t="str">
            <v>7805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C188">
            <v>7820</v>
          </cell>
          <cell r="D188" t="str">
            <v>Repairs to Plant, Machinery &amp; Equipment Account</v>
          </cell>
          <cell r="E188">
            <v>202740</v>
          </cell>
          <cell r="F188">
            <v>131784.65</v>
          </cell>
          <cell r="G188">
            <v>88106.32</v>
          </cell>
          <cell r="H188">
            <v>99902</v>
          </cell>
          <cell r="I188">
            <v>228740.17</v>
          </cell>
          <cell r="J188">
            <v>0</v>
          </cell>
          <cell r="K188">
            <v>8314329.5300000012</v>
          </cell>
          <cell r="L188">
            <v>216551.75</v>
          </cell>
          <cell r="M188">
            <v>110651.75</v>
          </cell>
          <cell r="N188">
            <v>70098.39</v>
          </cell>
          <cell r="O188">
            <v>3557240.3800000008</v>
          </cell>
        </row>
        <row r="189">
          <cell r="C189">
            <v>7830</v>
          </cell>
          <cell r="D189" t="str">
            <v>Way Leaves Account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C190">
            <v>7840</v>
          </cell>
          <cell r="D190" t="str">
            <v xml:space="preserve">Shifting of Electricity Lines Account 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C191">
            <v>7850</v>
          </cell>
          <cell r="D191" t="str">
            <v>Bad Debts Written Off Except Electricity Debts Account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C192">
            <v>7851</v>
          </cell>
          <cell r="D192" t="str">
            <v xml:space="preserve">Provision for Bad Debts (Other Than Electricity) Account 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15832099.562000059</v>
          </cell>
          <cell r="L192">
            <v>19524098.350000001</v>
          </cell>
          <cell r="M192">
            <v>1531692.7305059349</v>
          </cell>
          <cell r="N192">
            <v>0</v>
          </cell>
          <cell r="O192">
            <v>0</v>
          </cell>
        </row>
        <row r="193">
          <cell r="C193">
            <v>7852</v>
          </cell>
          <cell r="D193" t="str">
            <v>SLFRS Adjustment Control Account- Only for 2012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C194">
            <v>7853</v>
          </cell>
          <cell r="D194" t="str">
            <v>SLFRS Adjustment Control Account- Prior to 2012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C195">
            <v>7854</v>
          </cell>
          <cell r="D195" t="str">
            <v>Expenses on Cost Recovery Traning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2236760</v>
          </cell>
        </row>
        <row r="196">
          <cell r="C196">
            <v>7855</v>
          </cell>
          <cell r="D196" t="str">
            <v>Valuation and surver of Lands and Buildings</v>
          </cell>
          <cell r="E196">
            <v>0</v>
          </cell>
          <cell r="F196">
            <v>2562000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C197">
            <v>0</v>
          </cell>
          <cell r="D197" t="str">
            <v>OTHER EXPENSES - SUB TOTAL</v>
          </cell>
          <cell r="E197">
            <v>1257198.8899999999</v>
          </cell>
          <cell r="F197">
            <v>12683439.610000001</v>
          </cell>
          <cell r="G197">
            <v>296373.13</v>
          </cell>
          <cell r="H197">
            <v>2232026.79</v>
          </cell>
          <cell r="I197">
            <v>3613944.98</v>
          </cell>
          <cell r="J197">
            <v>0</v>
          </cell>
          <cell r="K197">
            <v>24192166.902000058</v>
          </cell>
          <cell r="L197">
            <v>20379654.400000002</v>
          </cell>
          <cell r="M197">
            <v>2138785.6605059346</v>
          </cell>
          <cell r="N197">
            <v>6757965.8500000006</v>
          </cell>
          <cell r="O197">
            <v>26199317.899999999</v>
          </cell>
        </row>
        <row r="198">
          <cell r="C198">
            <v>0</v>
          </cell>
          <cell r="D198" t="str">
            <v>FINANCE COST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C199">
            <v>8100</v>
          </cell>
          <cell r="D199" t="str">
            <v>Overdraft  Interest Account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C200">
            <v>8110</v>
          </cell>
          <cell r="D200" t="str">
            <v xml:space="preserve">Long / Short Term Interest Account 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C201">
            <v>8200</v>
          </cell>
          <cell r="D201" t="str">
            <v>Bank Charges Account</v>
          </cell>
          <cell r="E201">
            <v>0</v>
          </cell>
          <cell r="F201">
            <v>24276.91</v>
          </cell>
          <cell r="G201">
            <v>2500</v>
          </cell>
          <cell r="H201">
            <v>0</v>
          </cell>
          <cell r="I201">
            <v>76.5</v>
          </cell>
          <cell r="J201">
            <v>0</v>
          </cell>
          <cell r="K201">
            <v>1576.5</v>
          </cell>
          <cell r="L201">
            <v>0</v>
          </cell>
          <cell r="M201">
            <v>0</v>
          </cell>
          <cell r="N201">
            <v>0</v>
          </cell>
          <cell r="O201">
            <v>94706.989999999991</v>
          </cell>
        </row>
        <row r="202">
          <cell r="C202">
            <v>8300</v>
          </cell>
          <cell r="D202" t="str">
            <v>Exchange Rate Gain/ Losses  Account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C203">
            <v>8400</v>
          </cell>
          <cell r="D203" t="str">
            <v>Lease Interest Account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C204">
            <v>8500</v>
          </cell>
          <cell r="D204" t="str">
            <v>Project Loan Interest Account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C205">
            <v>8600</v>
          </cell>
          <cell r="D205" t="str">
            <v>Commission on Electricity Bill Collection Account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C206">
            <v>8700</v>
          </cell>
          <cell r="D206" t="str">
            <v>Delayed Interest on IPP Payments Account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C207">
            <v>8800</v>
          </cell>
          <cell r="D207" t="str">
            <v>Interest for delay payment to CPC       **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C208">
            <v>9100</v>
          </cell>
          <cell r="D208" t="str">
            <v>Debit Tax Account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C209">
            <v>9110</v>
          </cell>
          <cell r="D209" t="str">
            <v>Stamp Duty Account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C210">
            <v>9120</v>
          </cell>
          <cell r="D210" t="str">
            <v>Write Off  of Unrecoverable Economic Service Charge Account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C211">
            <v>9130</v>
          </cell>
          <cell r="D211" t="str">
            <v>Income Tax Account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C212">
            <v>9140</v>
          </cell>
          <cell r="D212" t="str">
            <v>Other Taxes Account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C213">
            <v>9200</v>
          </cell>
          <cell r="D213" t="str">
            <v>CON. FUND TAX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C214">
            <v>9300</v>
          </cell>
          <cell r="D214" t="str">
            <v>Deferred Tax Expense / (Income) - Net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</sheetData>
      <sheetData sheetId="32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>
            <v>0</v>
          </cell>
          <cell r="C16" t="str">
            <v>SUB TOTAL OF TURNOVER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0</v>
          </cell>
          <cell r="C17" t="str">
            <v xml:space="preserve"> INTEREST INCOME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B21">
            <v>0</v>
          </cell>
          <cell r="C21" t="str">
            <v>SUB TOTAL OF INTEREST INCOME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0</v>
          </cell>
          <cell r="C22" t="str">
            <v>DIVIDEND INCOME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0</v>
          </cell>
          <cell r="C24" t="str">
            <v>SUB TOTAL OF DIVIDEND INCOME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0</v>
          </cell>
          <cell r="C25" t="str">
            <v xml:space="preserve"> OVERHEAD RECOVERIES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1330</v>
          </cell>
          <cell r="C26" t="str">
            <v>Overhead Recoveries Account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1510</v>
          </cell>
          <cell r="C27" t="str">
            <v>Recoveries on House Rent Account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0</v>
          </cell>
          <cell r="C32" t="str">
            <v>SUB TOTAL OF OVERHEAD RECOVERIES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0</v>
          </cell>
          <cell r="C33" t="str">
            <v xml:space="preserve"> PROFIT / LOSS ON DISPOSAl OF PPE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0</v>
          </cell>
          <cell r="C36" t="str">
            <v>SUB TOTAL OF PROFIT / LOSS ON DISPOSAl OF PPE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0</v>
          </cell>
          <cell r="C37" t="str">
            <v xml:space="preserve"> MISSELANIOUS INCOME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1300</v>
          </cell>
          <cell r="C39" t="str">
            <v>Miscellaneous Income Account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1320</v>
          </cell>
          <cell r="C43" t="str">
            <v>Re-usable Material Account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>
            <v>0</v>
          </cell>
          <cell r="C52" t="str">
            <v>SUB TOTAL OF MISSELANIOUS INCOME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B53">
            <v>0</v>
          </cell>
          <cell r="C53" t="str">
            <v>TOTAL INCOME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B54">
            <v>0</v>
          </cell>
          <cell r="C54" t="str">
            <v xml:space="preserve"> PERSONNEL EXPENSES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>
            <v>2100</v>
          </cell>
          <cell r="C55" t="str">
            <v>Management Staff Salaries Account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>
            <v>2110</v>
          </cell>
          <cell r="C56" t="str">
            <v>Management Staff Allowances Account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B61">
            <v>2310</v>
          </cell>
          <cell r="C61" t="str">
            <v>Other Staff Allowances Account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B73">
            <v>2500</v>
          </cell>
          <cell r="C73" t="str">
            <v>Bonus Account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>
            <v>2540</v>
          </cell>
          <cell r="C77" t="str">
            <v>Allowances to Trainees Account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B90">
            <v>2641</v>
          </cell>
          <cell r="C90" t="str">
            <v>Medical Expenses  - Out door Account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B91">
            <v>2650</v>
          </cell>
          <cell r="C91" t="str">
            <v>Uniforms &amp; Protective Clothing Account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>
            <v>2660</v>
          </cell>
          <cell r="C92" t="str">
            <v>Reimbursement of loan Interest Account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>
            <v>2680</v>
          </cell>
          <cell r="C94" t="str">
            <v>CEB Pension Fund Account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>
            <v>2710</v>
          </cell>
          <cell r="C97" t="str">
            <v>CEB Provident Fund Account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>
            <v>0</v>
          </cell>
          <cell r="C98" t="str">
            <v>personel cost on pension fund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B99">
            <v>0</v>
          </cell>
          <cell r="C99" t="str">
            <v>PERSONNEL EXPENSES - SUB TOTAL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>
            <v>0</v>
          </cell>
          <cell r="C100" t="str">
            <v xml:space="preserve"> MATERIAL COST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>
            <v>3212</v>
          </cell>
          <cell r="C115" t="str">
            <v>Expenses on Tug Boats and Barges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B119">
            <v>3300</v>
          </cell>
          <cell r="C119" t="str">
            <v>Loose Tools Account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B125">
            <v>0</v>
          </cell>
          <cell r="C125" t="str">
            <v>MATERIAL COST - SUB TOTAL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B126">
            <v>0</v>
          </cell>
          <cell r="C126" t="str">
            <v>ACCOMMODATION EXPENSES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>
            <v>4100</v>
          </cell>
          <cell r="C127" t="str">
            <v>Housing Rent and Rates Account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>
            <v>4110</v>
          </cell>
          <cell r="C128" t="str">
            <v>Building Maintenance Account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B131">
            <v>4300</v>
          </cell>
          <cell r="C131" t="str">
            <v>Electricity  Consumption Account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B132">
            <v>4400</v>
          </cell>
          <cell r="C132" t="str">
            <v>Water Supply Charges Account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B133">
            <v>0</v>
          </cell>
          <cell r="C133" t="str">
            <v>ACCOMMODATION EXPENSES - SUB TOTAL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B134">
            <v>0</v>
          </cell>
          <cell r="C134" t="str">
            <v>TRANSPORT &amp; COMMUNICATION EXPENSES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B139">
            <v>5220</v>
          </cell>
          <cell r="C139" t="str">
            <v>Vehicle Hire Charges Account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B142">
            <v>5310</v>
          </cell>
          <cell r="C142" t="str">
            <v>Postage Account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B143">
            <v>5320</v>
          </cell>
          <cell r="C143" t="str">
            <v>Telecommunications Account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B145">
            <v>5322</v>
          </cell>
          <cell r="C145" t="str">
            <v>Expenses on Data communication links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B146">
            <v>5323</v>
          </cell>
          <cell r="C146" t="str">
            <v>Expenses on Software licenses and  maintenance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B148">
            <v>0</v>
          </cell>
          <cell r="C148" t="str">
            <v>TRANSPORT &amp; COMMUNICATION EXP. - SUB TOTAL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B149">
            <v>0</v>
          </cell>
          <cell r="C149" t="str">
            <v xml:space="preserve"> DEPRECIATION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B150">
            <v>6000</v>
          </cell>
          <cell r="C150" t="str">
            <v>Depreciation Account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B151">
            <v>0</v>
          </cell>
          <cell r="C151" t="str">
            <v>DEPRECIATION - SUB TOTAL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B152">
            <v>0</v>
          </cell>
          <cell r="C152" t="str">
            <v xml:space="preserve"> OTHER EXPENSES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B155">
            <v>7211</v>
          </cell>
          <cell r="C155" t="str">
            <v>Payment to Manpower Agencies Account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B170">
            <v>7510</v>
          </cell>
          <cell r="C170" t="str">
            <v>Entertainment Account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B191">
            <v>7854</v>
          </cell>
          <cell r="C191" t="str">
            <v>Expenses on Cost Recovery Traning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B192">
            <v>0</v>
          </cell>
          <cell r="C192" t="str">
            <v>OTHER EXPENSES - SUB TOTAL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B193">
            <v>0</v>
          </cell>
          <cell r="C193" t="str">
            <v>FINANCE COST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B208">
            <v>9300</v>
          </cell>
          <cell r="C208" t="str">
            <v>Deferred Tax Expense / (Income) - Net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 New"/>
      <sheetName val="TB New"/>
      <sheetName val="PL CRITERIA"/>
      <sheetName val="BS CRITERIA"/>
      <sheetName val="TB"/>
      <sheetName val="creditors "/>
      <sheetName val="ACCOUNTS"/>
      <sheetName val="DATA"/>
      <sheetName val="debtors"/>
      <sheetName val="OTHER debtors"/>
      <sheetName val="OTHER creditors"/>
      <sheetName val="SHEDULE"/>
      <sheetName val="EXP."/>
      <sheetName val="aruna"/>
      <sheetName val="SCHED SEP"/>
      <sheetName val="TB SCHED"/>
      <sheetName val="CS SCHED"/>
      <sheetName val="hsp nw 2"/>
      <sheetName val="Sheet1"/>
      <sheetName val="CS W&amp;AS"/>
      <sheetName val="CS NORTH WESTER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 "/>
      <sheetName val="Detail Cashflow"/>
      <sheetName val="Deference"/>
      <sheetName val="P&amp;l "/>
      <sheetName val="B.S "/>
      <sheetName val="CF Print"/>
      <sheetName val="P&amp;L Notes"/>
      <sheetName val="PPEnew"/>
      <sheetName val="B.S Notes"/>
      <sheetName val="TB"/>
      <sheetName val="CS"/>
      <sheetName val="Cu AC "/>
      <sheetName val="R1 BS"/>
      <sheetName val="R2 BS"/>
      <sheetName val="R3 BS"/>
      <sheetName val="R4 BS"/>
      <sheetName val="Gen BS"/>
      <sheetName val="Tra BS"/>
      <sheetName val="AM&amp;CS BS"/>
      <sheetName val="Pro BS"/>
      <sheetName val="HQ BS"/>
      <sheetName val="R-1CS"/>
      <sheetName val="R-2 CS"/>
      <sheetName val="R-3 CS"/>
      <sheetName val="R-4 CS"/>
      <sheetName val="Gen CS"/>
      <sheetName val="Tra CS"/>
      <sheetName val="AM &amp; CS"/>
      <sheetName val="Pro CS"/>
      <sheetName val="HQ CS"/>
      <sheetName val="Sam"/>
      <sheetName val="Char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9683271989.4899998</v>
          </cell>
          <cell r="F11">
            <v>1050294092.86</v>
          </cell>
          <cell r="G11">
            <v>3479970960.52</v>
          </cell>
          <cell r="H11">
            <v>422224621.55000001</v>
          </cell>
          <cell r="I11">
            <v>0</v>
          </cell>
          <cell r="J11">
            <v>0</v>
          </cell>
          <cell r="K11">
            <v>14635761664.42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5718417184.1499996</v>
          </cell>
          <cell r="F13">
            <v>1862982378.8499999</v>
          </cell>
          <cell r="G13">
            <v>4113329692.8499999</v>
          </cell>
          <cell r="H13">
            <v>1430049542.8599999</v>
          </cell>
          <cell r="I13">
            <v>0</v>
          </cell>
          <cell r="J13">
            <v>0</v>
          </cell>
          <cell r="K13">
            <v>13124778798.710001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256987590</v>
          </cell>
          <cell r="F14">
            <v>236563380</v>
          </cell>
          <cell r="G14">
            <v>529313280</v>
          </cell>
          <cell r="H14">
            <v>184561875</v>
          </cell>
          <cell r="I14">
            <v>0</v>
          </cell>
          <cell r="J14">
            <v>0</v>
          </cell>
          <cell r="K14">
            <v>1207426125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2950295858.5999999</v>
          </cell>
          <cell r="F15">
            <v>506716088.82999998</v>
          </cell>
          <cell r="G15">
            <v>1265057050.96</v>
          </cell>
          <cell r="H15">
            <v>458695951.04000002</v>
          </cell>
          <cell r="I15">
            <v>0</v>
          </cell>
          <cell r="J15">
            <v>0</v>
          </cell>
          <cell r="K15">
            <v>5180764949.4299994</v>
          </cell>
        </row>
        <row r="16">
          <cell r="B16">
            <v>0</v>
          </cell>
          <cell r="C16" t="str">
            <v>SUB TOTAL OF TURNOVER</v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34148731537.560001</v>
          </cell>
        </row>
        <row r="17">
          <cell r="B17">
            <v>0</v>
          </cell>
          <cell r="C17" t="str">
            <v xml:space="preserve"> INTEREST INCOME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0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2290585.2400000002</v>
          </cell>
          <cell r="E19">
            <v>5402196.8499999996</v>
          </cell>
          <cell r="F19">
            <v>3796045.94</v>
          </cell>
          <cell r="G19">
            <v>6578848.9400000004</v>
          </cell>
          <cell r="H19">
            <v>1980624.57</v>
          </cell>
          <cell r="I19">
            <v>15992</v>
          </cell>
          <cell r="J19">
            <v>225263.02</v>
          </cell>
          <cell r="K19">
            <v>20289556.559999999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0</v>
          </cell>
          <cell r="C21" t="str">
            <v>SUB TOTAL OF INTEREST INCOME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20289556.559999999</v>
          </cell>
        </row>
        <row r="22">
          <cell r="B22">
            <v>0</v>
          </cell>
          <cell r="C22" t="str">
            <v>DIVIDEND INCOME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0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0</v>
          </cell>
          <cell r="C24" t="str">
            <v>SUB TOTAL OF DIVIDEND INCOME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0</v>
          </cell>
        </row>
        <row r="25">
          <cell r="B25">
            <v>0</v>
          </cell>
          <cell r="C25" t="str">
            <v xml:space="preserve"> OVERHEAD RECOVERIES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0</v>
          </cell>
        </row>
        <row r="26">
          <cell r="B26">
            <v>1330</v>
          </cell>
          <cell r="C26" t="str">
            <v>Overhead Recoveries Account</v>
          </cell>
          <cell r="D26">
            <v>0</v>
          </cell>
          <cell r="E26">
            <v>29450299.239999998</v>
          </cell>
          <cell r="F26">
            <v>106448465.15000001</v>
          </cell>
          <cell r="G26">
            <v>84826846.019999996</v>
          </cell>
          <cell r="H26">
            <v>58201727.990000002</v>
          </cell>
          <cell r="I26">
            <v>0</v>
          </cell>
          <cell r="J26">
            <v>3414559.5</v>
          </cell>
          <cell r="K26">
            <v>282341897.90000004</v>
          </cell>
        </row>
        <row r="27">
          <cell r="B27">
            <v>1510</v>
          </cell>
          <cell r="C27" t="str">
            <v>Recoveries on House Rent Account</v>
          </cell>
          <cell r="D27">
            <v>0</v>
          </cell>
          <cell r="E27">
            <v>529167.53</v>
          </cell>
          <cell r="F27">
            <v>52474.5</v>
          </cell>
          <cell r="G27">
            <v>474456.63</v>
          </cell>
          <cell r="H27">
            <v>33325</v>
          </cell>
          <cell r="I27">
            <v>0</v>
          </cell>
          <cell r="J27">
            <v>0</v>
          </cell>
          <cell r="K27">
            <v>1089423.6600000001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  <cell r="F28">
            <v>0</v>
          </cell>
          <cell r="G28">
            <v>3645.79</v>
          </cell>
          <cell r="H28">
            <v>0</v>
          </cell>
          <cell r="I28">
            <v>0</v>
          </cell>
          <cell r="J28">
            <v>0</v>
          </cell>
          <cell r="K28">
            <v>3645.79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  <cell r="F29">
            <v>0</v>
          </cell>
          <cell r="G29">
            <v>2450</v>
          </cell>
          <cell r="H29">
            <v>2450</v>
          </cell>
          <cell r="I29">
            <v>0</v>
          </cell>
          <cell r="J29">
            <v>0</v>
          </cell>
          <cell r="K29">
            <v>4900</v>
          </cell>
        </row>
        <row r="30">
          <cell r="B30">
            <v>1540</v>
          </cell>
          <cell r="C30" t="str">
            <v>Recoveries on Circuit Bungalow Account</v>
          </cell>
          <cell r="D30">
            <v>-8550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-8550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1163.5999999999999</v>
          </cell>
          <cell r="E31">
            <v>0</v>
          </cell>
          <cell r="F31">
            <v>0</v>
          </cell>
          <cell r="G31">
            <v>5598915.4299999997</v>
          </cell>
          <cell r="H31">
            <v>0</v>
          </cell>
          <cell r="I31">
            <v>0</v>
          </cell>
          <cell r="J31">
            <v>0</v>
          </cell>
          <cell r="K31">
            <v>5600079.0299999993</v>
          </cell>
        </row>
        <row r="32">
          <cell r="B32">
            <v>0</v>
          </cell>
          <cell r="C32" t="str">
            <v>SUB TOTAL OF OVERHEAD RECOVERIES</v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289031396.38000005</v>
          </cell>
        </row>
        <row r="33">
          <cell r="B33">
            <v>0</v>
          </cell>
          <cell r="C33" t="str">
            <v xml:space="preserve"> PROFIT / LOSS ON DISPOSAl OF PPE</v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  <cell r="F35">
            <v>0</v>
          </cell>
          <cell r="G35">
            <v>669038</v>
          </cell>
          <cell r="H35">
            <v>0</v>
          </cell>
          <cell r="I35">
            <v>0</v>
          </cell>
          <cell r="J35">
            <v>0</v>
          </cell>
          <cell r="K35">
            <v>669038</v>
          </cell>
        </row>
        <row r="36">
          <cell r="B36">
            <v>0</v>
          </cell>
          <cell r="C36" t="str">
            <v>SUB TOTAL OF PROFIT / LOSS ON DISPOSAl OF PPE</v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669038</v>
          </cell>
        </row>
        <row r="37">
          <cell r="B37">
            <v>0</v>
          </cell>
          <cell r="C37" t="str">
            <v xml:space="preserve"> MISSELANIOUS INCOME</v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30244565.75</v>
          </cell>
          <cell r="F38">
            <v>17615326.960000001</v>
          </cell>
          <cell r="G38">
            <v>36972747.299999997</v>
          </cell>
          <cell r="H38">
            <v>47239645.159999996</v>
          </cell>
          <cell r="I38">
            <v>0</v>
          </cell>
          <cell r="J38">
            <v>0</v>
          </cell>
          <cell r="K38">
            <v>132072285.16999999</v>
          </cell>
        </row>
        <row r="39">
          <cell r="B39">
            <v>1300</v>
          </cell>
          <cell r="C39" t="str">
            <v>Miscellaneous Income Account</v>
          </cell>
          <cell r="D39">
            <v>881020.7</v>
          </cell>
          <cell r="E39">
            <v>45579637.939999998</v>
          </cell>
          <cell r="F39">
            <v>9835292.2300000004</v>
          </cell>
          <cell r="G39">
            <v>20418677.68</v>
          </cell>
          <cell r="H39">
            <v>3091587.41</v>
          </cell>
          <cell r="I39">
            <v>5132425</v>
          </cell>
          <cell r="J39">
            <v>313307.95</v>
          </cell>
          <cell r="K39">
            <v>85251948.910000011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62989.16</v>
          </cell>
          <cell r="F40">
            <v>3759212.92</v>
          </cell>
          <cell r="G40">
            <v>2216249.36</v>
          </cell>
          <cell r="H40">
            <v>527897.42000000004</v>
          </cell>
          <cell r="I40">
            <v>0</v>
          </cell>
          <cell r="J40">
            <v>0</v>
          </cell>
          <cell r="K40">
            <v>6566348.8599999994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64201095.240000002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64201095.240000002</v>
          </cell>
        </row>
        <row r="42">
          <cell r="B42">
            <v>1315</v>
          </cell>
          <cell r="C42" t="str">
            <v>Liquidated  Damages Account</v>
          </cell>
          <cell r="D42">
            <v>7281839.7300000004</v>
          </cell>
          <cell r="E42">
            <v>0</v>
          </cell>
          <cell r="F42">
            <v>0</v>
          </cell>
          <cell r="G42">
            <v>5291527.54</v>
          </cell>
          <cell r="H42">
            <v>1394213.4</v>
          </cell>
          <cell r="I42">
            <v>0</v>
          </cell>
          <cell r="J42">
            <v>0</v>
          </cell>
          <cell r="K42">
            <v>13967580.67</v>
          </cell>
        </row>
        <row r="43">
          <cell r="B43">
            <v>1320</v>
          </cell>
          <cell r="C43" t="str">
            <v>Materials removed from existing assets or ongoing jobs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139002081.78</v>
          </cell>
          <cell r="E45">
            <v>67233514.879999995</v>
          </cell>
          <cell r="F45">
            <v>340677041</v>
          </cell>
          <cell r="G45">
            <v>151553019.90000001</v>
          </cell>
          <cell r="H45">
            <v>53864288.600000001</v>
          </cell>
          <cell r="I45">
            <v>75249561</v>
          </cell>
          <cell r="J45">
            <v>0</v>
          </cell>
          <cell r="K45">
            <v>827579507.15999997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0</v>
          </cell>
          <cell r="E46">
            <v>417500</v>
          </cell>
          <cell r="F46">
            <v>160500</v>
          </cell>
          <cell r="G46">
            <v>276000</v>
          </cell>
          <cell r="H46">
            <v>0</v>
          </cell>
          <cell r="I46">
            <v>99837</v>
          </cell>
          <cell r="J46">
            <v>3500</v>
          </cell>
          <cell r="K46">
            <v>957337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264541.27</v>
          </cell>
          <cell r="F47">
            <v>2531650.5099999998</v>
          </cell>
          <cell r="G47">
            <v>613074.27</v>
          </cell>
          <cell r="H47">
            <v>5370142</v>
          </cell>
          <cell r="I47">
            <v>0</v>
          </cell>
          <cell r="J47">
            <v>0</v>
          </cell>
          <cell r="K47">
            <v>8779408.0500000007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  <cell r="F48">
            <v>4406749.7300000004</v>
          </cell>
          <cell r="G48">
            <v>15553920.83</v>
          </cell>
          <cell r="H48">
            <v>16224492.83</v>
          </cell>
          <cell r="I48">
            <v>0</v>
          </cell>
          <cell r="J48">
            <v>0</v>
          </cell>
          <cell r="K48">
            <v>36185163.390000001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947250</v>
          </cell>
          <cell r="F49">
            <v>3004750</v>
          </cell>
          <cell r="G49">
            <v>4755468.66</v>
          </cell>
          <cell r="H49">
            <v>2024750</v>
          </cell>
          <cell r="I49">
            <v>0</v>
          </cell>
          <cell r="J49">
            <v>0</v>
          </cell>
          <cell r="K49">
            <v>10732218.66</v>
          </cell>
        </row>
        <row r="50">
          <cell r="B50">
            <v>1385</v>
          </cell>
          <cell r="C50" t="str">
            <v>Fees collected from recovery training conducted by C.E.B</v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0</v>
          </cell>
        </row>
        <row r="51">
          <cell r="B51">
            <v>1390</v>
          </cell>
          <cell r="C51" t="str">
            <v>acturial gain or loss</v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0</v>
          </cell>
        </row>
        <row r="52">
          <cell r="B52">
            <v>0</v>
          </cell>
          <cell r="C52" t="str">
            <v>SUB TOTAL OF MISSELANIOUS INCOME</v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1186292893.1100001</v>
          </cell>
        </row>
        <row r="53">
          <cell r="B53">
            <v>0</v>
          </cell>
          <cell r="C53" t="str">
            <v>TOTAL INCOME</v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35645014421.610001</v>
          </cell>
        </row>
        <row r="54">
          <cell r="B54">
            <v>0</v>
          </cell>
          <cell r="C54" t="str">
            <v xml:space="preserve"> PERSONNEL EXPENSES</v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0</v>
          </cell>
        </row>
        <row r="55">
          <cell r="B55">
            <v>2100</v>
          </cell>
          <cell r="C55" t="str">
            <v>Management Staff Salaries Account</v>
          </cell>
          <cell r="D55">
            <v>14767483.99</v>
          </cell>
          <cell r="E55">
            <v>25260538.43</v>
          </cell>
          <cell r="F55">
            <v>15829491.039999999</v>
          </cell>
          <cell r="G55">
            <v>23463611.710000001</v>
          </cell>
          <cell r="H55">
            <v>10061644.15</v>
          </cell>
          <cell r="I55">
            <v>4933416.12</v>
          </cell>
          <cell r="J55">
            <v>6588628.3300000001</v>
          </cell>
          <cell r="K55">
            <v>100904813.77000001</v>
          </cell>
        </row>
        <row r="56">
          <cell r="B56">
            <v>2110</v>
          </cell>
          <cell r="C56" t="str">
            <v>Management Staff Allowances Account</v>
          </cell>
          <cell r="D56">
            <v>3580194.6</v>
          </cell>
          <cell r="E56">
            <v>4689834.38</v>
          </cell>
          <cell r="F56">
            <v>5469438.0800000001</v>
          </cell>
          <cell r="G56">
            <v>6009729.0999999996</v>
          </cell>
          <cell r="H56">
            <v>1882707.9</v>
          </cell>
          <cell r="I56">
            <v>938974.05</v>
          </cell>
          <cell r="J56">
            <v>2248383.44</v>
          </cell>
          <cell r="K56">
            <v>24819261.550000001</v>
          </cell>
        </row>
        <row r="57">
          <cell r="B57">
            <v>2120</v>
          </cell>
          <cell r="C57" t="str">
            <v>All the related expenses on Board of Directors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20001202.809999999</v>
          </cell>
          <cell r="E58">
            <v>80935887.030000001</v>
          </cell>
          <cell r="F58">
            <v>68588948.230000004</v>
          </cell>
          <cell r="G58">
            <v>139444325.97</v>
          </cell>
          <cell r="H58">
            <v>33371890.300000001</v>
          </cell>
          <cell r="I58">
            <v>6516068.7800000003</v>
          </cell>
          <cell r="J58">
            <v>11013785.619999999</v>
          </cell>
          <cell r="K58">
            <v>359872108.73999995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5020632.3099999996</v>
          </cell>
          <cell r="E60">
            <v>37997275.340000004</v>
          </cell>
          <cell r="F60">
            <v>26764510.539999999</v>
          </cell>
          <cell r="G60">
            <v>55672288.890000001</v>
          </cell>
          <cell r="H60">
            <v>11766236.539999999</v>
          </cell>
          <cell r="I60">
            <v>1988859.74</v>
          </cell>
          <cell r="J60">
            <v>3338541.48</v>
          </cell>
          <cell r="K60">
            <v>142548344.84</v>
          </cell>
        </row>
        <row r="61">
          <cell r="B61">
            <v>2310</v>
          </cell>
          <cell r="C61" t="str">
            <v>Other Staff Allowances Account</v>
          </cell>
          <cell r="D61">
            <v>791203.99</v>
          </cell>
          <cell r="E61">
            <v>2207517.4500000002</v>
          </cell>
          <cell r="F61">
            <v>2090768.55</v>
          </cell>
          <cell r="G61">
            <v>4479075.93</v>
          </cell>
          <cell r="H61">
            <v>1228034.2</v>
          </cell>
          <cell r="I61">
            <v>286702</v>
          </cell>
          <cell r="J61">
            <v>508160.75</v>
          </cell>
          <cell r="K61">
            <v>11591462.869999999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80426624.480000004</v>
          </cell>
          <cell r="F64">
            <v>86379165.519999996</v>
          </cell>
          <cell r="G64">
            <v>120052763.33</v>
          </cell>
          <cell r="H64">
            <v>65114319.619999997</v>
          </cell>
          <cell r="I64">
            <v>0</v>
          </cell>
          <cell r="J64">
            <v>12706802.5</v>
          </cell>
          <cell r="K64">
            <v>364679675.44999999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32607368.43</v>
          </cell>
          <cell r="F67">
            <v>25287159.73</v>
          </cell>
          <cell r="G67">
            <v>40285495.880000003</v>
          </cell>
          <cell r="H67">
            <v>18874743</v>
          </cell>
          <cell r="I67">
            <v>0</v>
          </cell>
          <cell r="J67">
            <v>2145197.5</v>
          </cell>
          <cell r="K67">
            <v>119199964.53999999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  <cell r="F68">
            <v>3751852.29</v>
          </cell>
          <cell r="G68">
            <v>1677473.82</v>
          </cell>
          <cell r="H68">
            <v>4140812.03</v>
          </cell>
          <cell r="I68">
            <v>0</v>
          </cell>
          <cell r="J68">
            <v>0</v>
          </cell>
          <cell r="K68">
            <v>9570138.1400000006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-21648684.550000001</v>
          </cell>
          <cell r="F69">
            <v>-34289419.049999997</v>
          </cell>
          <cell r="G69">
            <v>-57825851.270000003</v>
          </cell>
          <cell r="H69">
            <v>-19862499.870000001</v>
          </cell>
          <cell r="I69">
            <v>0</v>
          </cell>
          <cell r="J69">
            <v>-8486944.1400000006</v>
          </cell>
          <cell r="K69">
            <v>-142113398.88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496274.7</v>
          </cell>
          <cell r="E70">
            <v>224627.26</v>
          </cell>
          <cell r="F70">
            <v>320567.05</v>
          </cell>
          <cell r="G70">
            <v>857186.21</v>
          </cell>
          <cell r="H70">
            <v>394688.55</v>
          </cell>
          <cell r="I70">
            <v>31241.1</v>
          </cell>
          <cell r="J70">
            <v>161176.79999999999</v>
          </cell>
          <cell r="K70">
            <v>2485761.67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110428.41</v>
          </cell>
          <cell r="E71">
            <v>2889446.26</v>
          </cell>
          <cell r="F71">
            <v>7632121.4100000001</v>
          </cell>
          <cell r="G71">
            <v>7723561.9299999997</v>
          </cell>
          <cell r="H71">
            <v>3591080.77</v>
          </cell>
          <cell r="I71">
            <v>48487.44</v>
          </cell>
          <cell r="J71">
            <v>315089.76</v>
          </cell>
          <cell r="K71">
            <v>22310215.98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  <cell r="F72">
            <v>456505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456505</v>
          </cell>
        </row>
        <row r="73">
          <cell r="B73">
            <v>2500</v>
          </cell>
          <cell r="C73" t="str">
            <v>Bonus Account</v>
          </cell>
          <cell r="D73">
            <v>52663.65</v>
          </cell>
          <cell r="E73">
            <v>369199.62</v>
          </cell>
          <cell r="F73">
            <v>242832.08</v>
          </cell>
          <cell r="G73">
            <v>54683.33</v>
          </cell>
          <cell r="H73">
            <v>4845</v>
          </cell>
          <cell r="I73">
            <v>140573.62</v>
          </cell>
          <cell r="J73">
            <v>69075.86</v>
          </cell>
          <cell r="K73">
            <v>933873.15999999992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174371.58</v>
          </cell>
          <cell r="F74">
            <v>107950</v>
          </cell>
          <cell r="G74">
            <v>253510.01</v>
          </cell>
          <cell r="H74">
            <v>0</v>
          </cell>
          <cell r="I74">
            <v>0</v>
          </cell>
          <cell r="J74">
            <v>0</v>
          </cell>
          <cell r="K74">
            <v>535831.59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43006.46</v>
          </cell>
          <cell r="E76">
            <v>144883.20000000001</v>
          </cell>
          <cell r="F76">
            <v>163085.60999999999</v>
          </cell>
          <cell r="G76">
            <v>0</v>
          </cell>
          <cell r="H76">
            <v>925</v>
          </cell>
          <cell r="I76">
            <v>61777.61</v>
          </cell>
          <cell r="J76">
            <v>10724.34</v>
          </cell>
          <cell r="K76">
            <v>424402.22000000003</v>
          </cell>
        </row>
        <row r="77">
          <cell r="B77">
            <v>2540</v>
          </cell>
          <cell r="C77" t="str">
            <v>Allowances to Trainees Account</v>
          </cell>
          <cell r="D77">
            <v>144700</v>
          </cell>
          <cell r="E77">
            <v>113050</v>
          </cell>
          <cell r="F77">
            <v>2000325</v>
          </cell>
          <cell r="G77">
            <v>2530950</v>
          </cell>
          <cell r="H77">
            <v>2205875</v>
          </cell>
          <cell r="I77">
            <v>0</v>
          </cell>
          <cell r="J77">
            <v>62450</v>
          </cell>
          <cell r="K77">
            <v>7057350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  <cell r="F78">
            <v>2585100</v>
          </cell>
          <cell r="G78">
            <v>240260</v>
          </cell>
          <cell r="H78">
            <v>0</v>
          </cell>
          <cell r="I78">
            <v>0</v>
          </cell>
          <cell r="J78">
            <v>0</v>
          </cell>
          <cell r="K78">
            <v>2825360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888372.57</v>
          </cell>
          <cell r="E79">
            <v>495374.09</v>
          </cell>
          <cell r="F79">
            <v>7607.27</v>
          </cell>
          <cell r="G79">
            <v>289154</v>
          </cell>
          <cell r="H79">
            <v>17500</v>
          </cell>
          <cell r="I79">
            <v>0</v>
          </cell>
          <cell r="J79">
            <v>0</v>
          </cell>
          <cell r="K79">
            <v>1698007.93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18370</v>
          </cell>
          <cell r="E82">
            <v>105135</v>
          </cell>
          <cell r="F82">
            <v>3450</v>
          </cell>
          <cell r="G82">
            <v>99231.75</v>
          </cell>
          <cell r="H82">
            <v>55955</v>
          </cell>
          <cell r="I82">
            <v>0</v>
          </cell>
          <cell r="J82">
            <v>5900</v>
          </cell>
          <cell r="K82">
            <v>288041.75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327954.88</v>
          </cell>
          <cell r="E84">
            <v>138317.87</v>
          </cell>
          <cell r="F84">
            <v>83508.740000000005</v>
          </cell>
          <cell r="G84">
            <v>109701.52</v>
          </cell>
          <cell r="H84">
            <v>51470.14</v>
          </cell>
          <cell r="I84">
            <v>40008.5</v>
          </cell>
          <cell r="J84">
            <v>23312</v>
          </cell>
          <cell r="K84">
            <v>774273.65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26040</v>
          </cell>
          <cell r="F85">
            <v>0</v>
          </cell>
          <cell r="G85">
            <v>4785</v>
          </cell>
          <cell r="H85">
            <v>0</v>
          </cell>
          <cell r="I85">
            <v>0</v>
          </cell>
          <cell r="J85">
            <v>0</v>
          </cell>
          <cell r="K85">
            <v>30825</v>
          </cell>
        </row>
        <row r="86">
          <cell r="B86">
            <v>2631</v>
          </cell>
          <cell r="C86" t="str">
            <v>Staff Welfare  - Medical Expenses Account</v>
          </cell>
          <cell r="D86">
            <v>2500</v>
          </cell>
          <cell r="E86">
            <v>3551.28</v>
          </cell>
          <cell r="F86">
            <v>500</v>
          </cell>
          <cell r="G86">
            <v>0</v>
          </cell>
          <cell r="H86">
            <v>4500</v>
          </cell>
          <cell r="I86">
            <v>0</v>
          </cell>
          <cell r="J86">
            <v>0</v>
          </cell>
          <cell r="K86">
            <v>11051.28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500</v>
          </cell>
          <cell r="E87">
            <v>0</v>
          </cell>
          <cell r="F87">
            <v>1170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1670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  <cell r="F88">
            <v>23170.58</v>
          </cell>
          <cell r="G88">
            <v>1100298.31</v>
          </cell>
          <cell r="H88">
            <v>111688.55</v>
          </cell>
          <cell r="I88">
            <v>0</v>
          </cell>
          <cell r="J88">
            <v>0</v>
          </cell>
          <cell r="K88">
            <v>1235157.4400000002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1872005.94</v>
          </cell>
          <cell r="E89">
            <v>6154934.9000000004</v>
          </cell>
          <cell r="F89">
            <v>5364526.8600000003</v>
          </cell>
          <cell r="G89">
            <v>6787579.4400000004</v>
          </cell>
          <cell r="H89">
            <v>1773709.28</v>
          </cell>
          <cell r="I89">
            <v>140885.25</v>
          </cell>
          <cell r="J89">
            <v>690571.94</v>
          </cell>
          <cell r="K89">
            <v>22784213.610000003</v>
          </cell>
        </row>
        <row r="90">
          <cell r="B90">
            <v>2641</v>
          </cell>
          <cell r="C90" t="str">
            <v>Medical Expenses  - Out door Account</v>
          </cell>
          <cell r="D90">
            <v>1013715.38</v>
          </cell>
          <cell r="E90">
            <v>5068371.63</v>
          </cell>
          <cell r="F90">
            <v>3972545.79</v>
          </cell>
          <cell r="G90">
            <v>5718570.3200000003</v>
          </cell>
          <cell r="H90">
            <v>1750609.58</v>
          </cell>
          <cell r="I90">
            <v>382277.58</v>
          </cell>
          <cell r="J90">
            <v>806609.17</v>
          </cell>
          <cell r="K90">
            <v>18712699.450000003</v>
          </cell>
        </row>
        <row r="91">
          <cell r="B91">
            <v>2650</v>
          </cell>
          <cell r="C91" t="str">
            <v>Uniforms &amp; Protective Clothing Account</v>
          </cell>
          <cell r="D91">
            <v>255980.05</v>
          </cell>
          <cell r="E91">
            <v>1189835.8999999999</v>
          </cell>
          <cell r="F91">
            <v>305498.2</v>
          </cell>
          <cell r="G91">
            <v>6582900.7400000002</v>
          </cell>
          <cell r="H91">
            <v>102950</v>
          </cell>
          <cell r="I91">
            <v>66168.899999999994</v>
          </cell>
          <cell r="J91">
            <v>59122.9</v>
          </cell>
          <cell r="K91">
            <v>8562456.6900000013</v>
          </cell>
        </row>
        <row r="92">
          <cell r="B92">
            <v>2660</v>
          </cell>
          <cell r="C92" t="str">
            <v>Reimbursement of loan Interest Account</v>
          </cell>
          <cell r="D92">
            <v>6261767.0800000001</v>
          </cell>
          <cell r="E92">
            <v>25630047.489999998</v>
          </cell>
          <cell r="F92">
            <v>16536738.869999999</v>
          </cell>
          <cell r="G92">
            <v>27359706.609999999</v>
          </cell>
          <cell r="H92">
            <v>6722834.3099999996</v>
          </cell>
          <cell r="I92">
            <v>1119492.33</v>
          </cell>
          <cell r="J92">
            <v>1838275.53</v>
          </cell>
          <cell r="K92">
            <v>85468862.219999999</v>
          </cell>
        </row>
        <row r="93">
          <cell r="B93">
            <v>2670</v>
          </cell>
          <cell r="C93" t="str">
            <v>PAYE Tax  Account</v>
          </cell>
          <cell r="D93">
            <v>2288831.9500000002</v>
          </cell>
          <cell r="E93">
            <v>8650320.1500000004</v>
          </cell>
          <cell r="F93">
            <v>2969091.3</v>
          </cell>
          <cell r="G93">
            <v>8464023.7200000007</v>
          </cell>
          <cell r="H93">
            <v>2255745.2200000002</v>
          </cell>
          <cell r="I93">
            <v>127328.68</v>
          </cell>
          <cell r="J93">
            <v>345654.83</v>
          </cell>
          <cell r="K93">
            <v>25100995.850000001</v>
          </cell>
        </row>
        <row r="94">
          <cell r="B94">
            <v>2680</v>
          </cell>
          <cell r="C94" t="str">
            <v>CEB Pension Fund Account</v>
          </cell>
          <cell r="D94">
            <v>5721543.8200000003</v>
          </cell>
          <cell r="E94">
            <v>15693138.109999999</v>
          </cell>
          <cell r="F94">
            <v>12159855.470000001</v>
          </cell>
          <cell r="G94">
            <v>19126982.239999998</v>
          </cell>
          <cell r="H94">
            <v>7734212.79</v>
          </cell>
          <cell r="I94">
            <v>311807.8</v>
          </cell>
          <cell r="J94">
            <v>767967.98</v>
          </cell>
          <cell r="K94">
            <v>61515508.209999993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1124.2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1124.2</v>
          </cell>
        </row>
        <row r="96">
          <cell r="B96">
            <v>2700</v>
          </cell>
          <cell r="C96" t="str">
            <v>CEB Employee Trust Fund Account</v>
          </cell>
          <cell r="D96">
            <v>2167790.0099999998</v>
          </cell>
          <cell r="E96">
            <v>5575873.2300000004</v>
          </cell>
          <cell r="F96">
            <v>4717270.58</v>
          </cell>
          <cell r="G96">
            <v>10999669.24</v>
          </cell>
          <cell r="H96">
            <v>2995966.43</v>
          </cell>
          <cell r="I96">
            <v>116927.91</v>
          </cell>
          <cell r="J96">
            <v>287987.99</v>
          </cell>
          <cell r="K96">
            <v>26861485.390000001</v>
          </cell>
        </row>
        <row r="97">
          <cell r="B97">
            <v>2710</v>
          </cell>
          <cell r="C97" t="str">
            <v>CEB Provident Fund Account</v>
          </cell>
          <cell r="D97">
            <v>10509460.359999999</v>
          </cell>
          <cell r="E97">
            <v>28798506.16</v>
          </cell>
          <cell r="F97">
            <v>22957380.789999999</v>
          </cell>
          <cell r="G97">
            <v>34426667.090000004</v>
          </cell>
          <cell r="H97">
            <v>14918895.279999999</v>
          </cell>
          <cell r="I97">
            <v>584639.63</v>
          </cell>
          <cell r="J97">
            <v>1439939.94</v>
          </cell>
          <cell r="K97">
            <v>113635489.25</v>
          </cell>
        </row>
        <row r="98">
          <cell r="B98">
            <v>0</v>
          </cell>
          <cell r="C98" t="str">
            <v>personel cost on pension fund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>
            <v>0</v>
          </cell>
        </row>
        <row r="99">
          <cell r="B99">
            <v>0</v>
          </cell>
          <cell r="C99" t="str">
            <v>PERSONNEL EXPENSES - SUB TOTAL</v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>
            <v>1394783532.5600002</v>
          </cell>
        </row>
        <row r="100">
          <cell r="B100">
            <v>0</v>
          </cell>
          <cell r="C100" t="str">
            <v xml:space="preserve"> MATERIAL COST</v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>
            <v>0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15647558220.18</v>
          </cell>
          <cell r="F104">
            <v>2994524463.96</v>
          </cell>
          <cell r="G104">
            <v>7784246640.8699999</v>
          </cell>
          <cell r="H104">
            <v>2024960147.2</v>
          </cell>
          <cell r="I104">
            <v>0</v>
          </cell>
          <cell r="J104">
            <v>0</v>
          </cell>
          <cell r="K104">
            <v>28451289472.209999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90186894.129999995</v>
          </cell>
          <cell r="F110">
            <v>29807613.149999999</v>
          </cell>
          <cell r="G110">
            <v>86774972.370000005</v>
          </cell>
          <cell r="H110">
            <v>39364260.670000002</v>
          </cell>
          <cell r="I110">
            <v>0</v>
          </cell>
          <cell r="J110">
            <v>3581725.12</v>
          </cell>
          <cell r="K110">
            <v>249715465.44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  <cell r="F114">
            <v>2351892.5</v>
          </cell>
          <cell r="G114">
            <v>143460</v>
          </cell>
          <cell r="H114">
            <v>358165</v>
          </cell>
          <cell r="I114">
            <v>0</v>
          </cell>
          <cell r="J114">
            <v>0</v>
          </cell>
          <cell r="K114">
            <v>2853517.5</v>
          </cell>
        </row>
        <row r="115">
          <cell r="B115">
            <v>3212</v>
          </cell>
          <cell r="C115" t="str">
            <v>Expenses incurred on the maintenance and hiring of Tug Boats and Barges in coal transport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60667</v>
          </cell>
          <cell r="E118">
            <v>1604878.81</v>
          </cell>
          <cell r="F118">
            <v>0</v>
          </cell>
          <cell r="G118">
            <v>1219268.32</v>
          </cell>
          <cell r="H118">
            <v>4700</v>
          </cell>
          <cell r="I118">
            <v>0</v>
          </cell>
          <cell r="J118">
            <v>49095</v>
          </cell>
          <cell r="K118">
            <v>2938609.13</v>
          </cell>
        </row>
        <row r="119">
          <cell r="B119">
            <v>3300</v>
          </cell>
          <cell r="C119" t="str">
            <v>Loose Tools Account</v>
          </cell>
          <cell r="D119">
            <v>11275</v>
          </cell>
          <cell r="E119">
            <v>597123.6</v>
          </cell>
          <cell r="F119">
            <v>814245</v>
          </cell>
          <cell r="G119">
            <v>2709737.16</v>
          </cell>
          <cell r="H119">
            <v>1648247.3</v>
          </cell>
          <cell r="I119">
            <v>0</v>
          </cell>
          <cell r="J119">
            <v>120680</v>
          </cell>
          <cell r="K119">
            <v>5901308.0600000005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  <cell r="F120">
            <v>0</v>
          </cell>
          <cell r="G120">
            <v>-948424.1</v>
          </cell>
          <cell r="H120">
            <v>3670</v>
          </cell>
          <cell r="I120">
            <v>14995</v>
          </cell>
          <cell r="J120">
            <v>0</v>
          </cell>
          <cell r="K120">
            <v>-929759.1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43372472.840000004</v>
          </cell>
          <cell r="E122">
            <v>0</v>
          </cell>
          <cell r="F122">
            <v>0</v>
          </cell>
          <cell r="G122">
            <v>9574559.1600000001</v>
          </cell>
          <cell r="H122">
            <v>14434251.710000001</v>
          </cell>
          <cell r="I122">
            <v>0</v>
          </cell>
          <cell r="J122">
            <v>-16147335.5</v>
          </cell>
          <cell r="K122">
            <v>51233948.210000008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B125">
            <v>0</v>
          </cell>
          <cell r="C125" t="str">
            <v>MATERIAL COST - SUB TOTAL</v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>
            <v>28763002561.450001</v>
          </cell>
        </row>
        <row r="126">
          <cell r="B126">
            <v>0</v>
          </cell>
          <cell r="C126" t="str">
            <v>ACCOMMODATION EXPENSES</v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>
            <v>0</v>
          </cell>
        </row>
        <row r="127">
          <cell r="B127">
            <v>4100</v>
          </cell>
          <cell r="C127" t="str">
            <v>Housing Rent and Rates Account</v>
          </cell>
          <cell r="D127">
            <v>0</v>
          </cell>
          <cell r="E127">
            <v>21077949.559999999</v>
          </cell>
          <cell r="F127">
            <v>1904598.56</v>
          </cell>
          <cell r="G127">
            <v>5772033.5899999999</v>
          </cell>
          <cell r="H127">
            <v>1310346.74</v>
          </cell>
          <cell r="I127">
            <v>173000</v>
          </cell>
          <cell r="J127">
            <v>514800</v>
          </cell>
          <cell r="K127">
            <v>30752728.449999996</v>
          </cell>
        </row>
        <row r="128">
          <cell r="B128">
            <v>4110</v>
          </cell>
          <cell r="C128" t="str">
            <v>Building Maintenance Account</v>
          </cell>
          <cell r="D128">
            <v>36970.75</v>
          </cell>
          <cell r="E128">
            <v>4364717.6399999997</v>
          </cell>
          <cell r="F128">
            <v>7399734.0099999998</v>
          </cell>
          <cell r="G128">
            <v>7361167.9400000004</v>
          </cell>
          <cell r="H128">
            <v>1970316.52</v>
          </cell>
          <cell r="I128">
            <v>251144</v>
          </cell>
          <cell r="J128">
            <v>317995.5</v>
          </cell>
          <cell r="K128">
            <v>21702046.359999999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  <cell r="F129">
            <v>3592033.17</v>
          </cell>
          <cell r="G129">
            <v>0</v>
          </cell>
          <cell r="H129">
            <v>1837313.59</v>
          </cell>
          <cell r="I129">
            <v>0</v>
          </cell>
          <cell r="J129">
            <v>0</v>
          </cell>
          <cell r="K129">
            <v>5429346.7599999998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214362.5</v>
          </cell>
          <cell r="E130">
            <v>1974789.68</v>
          </cell>
          <cell r="F130">
            <v>1295318.06</v>
          </cell>
          <cell r="G130">
            <v>1402034.66</v>
          </cell>
          <cell r="H130">
            <v>321870.2</v>
          </cell>
          <cell r="I130">
            <v>119151</v>
          </cell>
          <cell r="J130">
            <v>389068.3</v>
          </cell>
          <cell r="K130">
            <v>5716594.3999999994</v>
          </cell>
        </row>
        <row r="131">
          <cell r="B131">
            <v>4300</v>
          </cell>
          <cell r="C131" t="str">
            <v>Electricity  Consumption Account</v>
          </cell>
          <cell r="D131">
            <v>265617.2</v>
          </cell>
          <cell r="E131">
            <v>12987393.550000001</v>
          </cell>
          <cell r="F131">
            <v>3743239.54</v>
          </cell>
          <cell r="G131">
            <v>5308866.32</v>
          </cell>
          <cell r="H131">
            <v>1465667.21</v>
          </cell>
          <cell r="I131">
            <v>598225.34</v>
          </cell>
          <cell r="J131">
            <v>308207.93</v>
          </cell>
          <cell r="K131">
            <v>24677217.09</v>
          </cell>
        </row>
        <row r="132">
          <cell r="B132">
            <v>4400</v>
          </cell>
          <cell r="C132" t="str">
            <v>Water Supply Charges Account</v>
          </cell>
          <cell r="D132">
            <v>33500</v>
          </cell>
          <cell r="E132">
            <v>1696296.49</v>
          </cell>
          <cell r="F132">
            <v>2066110.3</v>
          </cell>
          <cell r="G132">
            <v>1529565.67</v>
          </cell>
          <cell r="H132">
            <v>574325.66</v>
          </cell>
          <cell r="I132">
            <v>132040.70000000001</v>
          </cell>
          <cell r="J132">
            <v>26482.92</v>
          </cell>
          <cell r="K132">
            <v>6058321.7400000002</v>
          </cell>
        </row>
        <row r="133">
          <cell r="B133">
            <v>0</v>
          </cell>
          <cell r="C133" t="str">
            <v>ACCOMMODATION EXPENSES - SUB TOTAL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>
            <v>94336254.799999982</v>
          </cell>
        </row>
        <row r="134">
          <cell r="B134">
            <v>0</v>
          </cell>
          <cell r="C134" t="str">
            <v>TRANSPORT &amp; COMMUNICATION EXPENSES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>
            <v>0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309872.75</v>
          </cell>
          <cell r="E135">
            <v>522120</v>
          </cell>
          <cell r="F135">
            <v>5446930.21</v>
          </cell>
          <cell r="G135">
            <v>12649859.99</v>
          </cell>
          <cell r="H135">
            <v>1466005.35</v>
          </cell>
          <cell r="I135">
            <v>127531.48</v>
          </cell>
          <cell r="J135">
            <v>2734609.38</v>
          </cell>
          <cell r="K135">
            <v>23256929.16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3750919.07</v>
          </cell>
          <cell r="E137">
            <v>7411942.7599999998</v>
          </cell>
          <cell r="F137">
            <v>13902136.539999999</v>
          </cell>
          <cell r="G137">
            <v>13673601</v>
          </cell>
          <cell r="H137">
            <v>6748778.04</v>
          </cell>
          <cell r="I137">
            <v>615376.68000000005</v>
          </cell>
          <cell r="J137">
            <v>3149210.63</v>
          </cell>
          <cell r="K137">
            <v>49251964.719999999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3192194.8</v>
          </cell>
          <cell r="E138">
            <v>12677260.460000001</v>
          </cell>
          <cell r="F138">
            <v>18144035.66</v>
          </cell>
          <cell r="G138">
            <v>27256907.82</v>
          </cell>
          <cell r="H138">
            <v>14547891.699999999</v>
          </cell>
          <cell r="I138">
            <v>1131124.93</v>
          </cell>
          <cell r="J138">
            <v>3911549.59</v>
          </cell>
          <cell r="K138">
            <v>80860964.960000008</v>
          </cell>
        </row>
        <row r="139">
          <cell r="B139">
            <v>5220</v>
          </cell>
          <cell r="C139" t="str">
            <v>Vehicle Hire Charges Account</v>
          </cell>
          <cell r="D139">
            <v>956553.37</v>
          </cell>
          <cell r="E139">
            <v>13039825.91</v>
          </cell>
          <cell r="F139">
            <v>28272976.219999999</v>
          </cell>
          <cell r="G139">
            <v>54501041.369999997</v>
          </cell>
          <cell r="H139">
            <v>11533704.02</v>
          </cell>
          <cell r="I139">
            <v>0</v>
          </cell>
          <cell r="J139">
            <v>7486711.4900000002</v>
          </cell>
          <cell r="K139">
            <v>115790812.38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  <cell r="F140">
            <v>2477645.7599999998</v>
          </cell>
          <cell r="G140">
            <v>0</v>
          </cell>
          <cell r="H140">
            <v>2230244</v>
          </cell>
          <cell r="I140">
            <v>0</v>
          </cell>
          <cell r="J140">
            <v>0</v>
          </cell>
          <cell r="K140">
            <v>4707889.76</v>
          </cell>
        </row>
        <row r="141">
          <cell r="B141">
            <v>5300</v>
          </cell>
          <cell r="C141" t="str">
            <v>Office Supplies Account</v>
          </cell>
          <cell r="D141">
            <v>3249816.57</v>
          </cell>
          <cell r="E141">
            <v>6900985.9400000004</v>
          </cell>
          <cell r="F141">
            <v>5410649.9500000002</v>
          </cell>
          <cell r="G141">
            <v>13073632.99</v>
          </cell>
          <cell r="H141">
            <v>3692052.61</v>
          </cell>
          <cell r="I141">
            <v>177492.5</v>
          </cell>
          <cell r="J141">
            <v>531352.56000000006</v>
          </cell>
          <cell r="K141">
            <v>33035983.120000001</v>
          </cell>
        </row>
        <row r="142">
          <cell r="B142">
            <v>5310</v>
          </cell>
          <cell r="C142" t="str">
            <v>Postage Account</v>
          </cell>
          <cell r="D142">
            <v>143911.64000000001</v>
          </cell>
          <cell r="E142">
            <v>294650</v>
          </cell>
          <cell r="F142">
            <v>377379.1</v>
          </cell>
          <cell r="G142">
            <v>491028.77</v>
          </cell>
          <cell r="H142">
            <v>171005</v>
          </cell>
          <cell r="I142">
            <v>2865</v>
          </cell>
          <cell r="J142">
            <v>17599</v>
          </cell>
          <cell r="K142">
            <v>1498438.51</v>
          </cell>
        </row>
        <row r="143">
          <cell r="B143">
            <v>5320</v>
          </cell>
          <cell r="C143" t="str">
            <v>Telecommunications Account</v>
          </cell>
          <cell r="D143">
            <v>1857949.8</v>
          </cell>
          <cell r="E143">
            <v>4391392.22</v>
          </cell>
          <cell r="F143">
            <v>1602233.71</v>
          </cell>
          <cell r="G143">
            <v>3668324.75</v>
          </cell>
          <cell r="H143">
            <v>989117.26</v>
          </cell>
          <cell r="I143">
            <v>88441.66</v>
          </cell>
          <cell r="J143">
            <v>198991.46</v>
          </cell>
          <cell r="K143">
            <v>12796450.860000001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  <cell r="F144">
            <v>175599.16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175599.16</v>
          </cell>
        </row>
        <row r="145">
          <cell r="B145">
            <v>5322</v>
          </cell>
          <cell r="C145" t="str">
            <v>Expenses on data communication links (VPNs, Leased Lines etc)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>
            <v>0</v>
          </cell>
        </row>
        <row r="146">
          <cell r="B146">
            <v>5323</v>
          </cell>
          <cell r="C146" t="str">
            <v>Expenses on purchase / renewal of software licenses (such as e-mail, Citrix, informix, Uniface user accounts etc.)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>
            <v>0</v>
          </cell>
        </row>
        <row r="147">
          <cell r="B147">
            <v>5324</v>
          </cell>
          <cell r="C147" t="str">
            <v>Expenses on maintenance of Information Technology (IT) related hardware (such as watch guard router, billing srvers, computers, printers, UPS, call center equipments etc.)</v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>
            <v>0</v>
          </cell>
        </row>
        <row r="148">
          <cell r="B148">
            <v>0</v>
          </cell>
          <cell r="C148" t="str">
            <v>TRANSPORT &amp; COMMUNICATION EXP. - SUB TOTAL</v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>
            <v>321375032.63000005</v>
          </cell>
        </row>
        <row r="149">
          <cell r="B149">
            <v>0</v>
          </cell>
          <cell r="C149" t="str">
            <v xml:space="preserve"> DEPRECIATION</v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>
            <v>0</v>
          </cell>
        </row>
        <row r="150">
          <cell r="B150">
            <v>6000</v>
          </cell>
          <cell r="C150" t="str">
            <v>Depreciation Account</v>
          </cell>
          <cell r="D150">
            <v>1529507131.74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1529507131.74</v>
          </cell>
        </row>
        <row r="151">
          <cell r="B151">
            <v>0</v>
          </cell>
          <cell r="C151" t="str">
            <v>DEPRECIATION - SUB TOTAL</v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>
            <v>1529507131.74</v>
          </cell>
        </row>
        <row r="152">
          <cell r="B152">
            <v>0</v>
          </cell>
          <cell r="C152" t="str">
            <v xml:space="preserve"> OTHER EXPENSES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>
            <v>0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433869.7</v>
          </cell>
          <cell r="E154">
            <v>12524799.939999999</v>
          </cell>
          <cell r="F154">
            <v>7432596.5700000003</v>
          </cell>
          <cell r="G154">
            <v>13611066.6</v>
          </cell>
          <cell r="H154">
            <v>4830068.78</v>
          </cell>
          <cell r="I154">
            <v>0</v>
          </cell>
          <cell r="J154">
            <v>2026326.02</v>
          </cell>
          <cell r="K154">
            <v>40858727.610000007</v>
          </cell>
        </row>
        <row r="155">
          <cell r="B155">
            <v>7211</v>
          </cell>
          <cell r="C155" t="str">
            <v>Payment to Manpower Agencies Account</v>
          </cell>
          <cell r="D155">
            <v>3048881.07</v>
          </cell>
          <cell r="E155">
            <v>67026765.560000002</v>
          </cell>
          <cell r="F155">
            <v>50555712.740000002</v>
          </cell>
          <cell r="G155">
            <v>110031892.58</v>
          </cell>
          <cell r="H155">
            <v>33305661.789999999</v>
          </cell>
          <cell r="I155">
            <v>99478.399999999994</v>
          </cell>
          <cell r="J155">
            <v>3052469.24</v>
          </cell>
          <cell r="K155">
            <v>267120861.38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179887.89</v>
          </cell>
          <cell r="F160">
            <v>27000</v>
          </cell>
          <cell r="G160">
            <v>8200</v>
          </cell>
          <cell r="H160">
            <v>0</v>
          </cell>
          <cell r="I160">
            <v>0</v>
          </cell>
          <cell r="J160">
            <v>0</v>
          </cell>
          <cell r="K160">
            <v>215087.89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216589.77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216589.77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154182</v>
          </cell>
          <cell r="E165">
            <v>32680</v>
          </cell>
          <cell r="F165">
            <v>7300</v>
          </cell>
          <cell r="G165">
            <v>8700</v>
          </cell>
          <cell r="H165">
            <v>8500</v>
          </cell>
          <cell r="I165">
            <v>0</v>
          </cell>
          <cell r="J165">
            <v>0</v>
          </cell>
          <cell r="K165">
            <v>211362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489410</v>
          </cell>
          <cell r="E166">
            <v>307000</v>
          </cell>
          <cell r="F166">
            <v>110000</v>
          </cell>
          <cell r="G166">
            <v>490950</v>
          </cell>
          <cell r="H166">
            <v>0</v>
          </cell>
          <cell r="I166">
            <v>0</v>
          </cell>
          <cell r="J166">
            <v>0</v>
          </cell>
          <cell r="K166">
            <v>1397360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1300</v>
          </cell>
          <cell r="E168">
            <v>47825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49125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330461</v>
          </cell>
          <cell r="F169">
            <v>166040.95999999999</v>
          </cell>
          <cell r="G169">
            <v>224973.19</v>
          </cell>
          <cell r="H169">
            <v>117518.62</v>
          </cell>
          <cell r="I169">
            <v>0</v>
          </cell>
          <cell r="J169">
            <v>0</v>
          </cell>
          <cell r="K169">
            <v>838993.7699999999</v>
          </cell>
        </row>
        <row r="170">
          <cell r="B170">
            <v>7510</v>
          </cell>
          <cell r="C170" t="str">
            <v>Entertainment Account</v>
          </cell>
          <cell r="D170">
            <v>117395.76</v>
          </cell>
          <cell r="E170">
            <v>469180.6</v>
          </cell>
          <cell r="F170">
            <v>372575.85</v>
          </cell>
          <cell r="G170">
            <v>173655.47</v>
          </cell>
          <cell r="H170">
            <v>58012</v>
          </cell>
          <cell r="I170">
            <v>15608.56</v>
          </cell>
          <cell r="J170">
            <v>29693</v>
          </cell>
          <cell r="K170">
            <v>1236121.24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763757.7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763757.7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182079.06</v>
          </cell>
          <cell r="E172">
            <v>2941172.1</v>
          </cell>
          <cell r="F172">
            <v>2593624.9300000002</v>
          </cell>
          <cell r="G172">
            <v>3038217.45</v>
          </cell>
          <cell r="H172">
            <v>879047.76</v>
          </cell>
          <cell r="I172">
            <v>35801</v>
          </cell>
          <cell r="J172">
            <v>124034.2</v>
          </cell>
          <cell r="K172">
            <v>9793976.4999999981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296486.42</v>
          </cell>
          <cell r="F173">
            <v>221639.6</v>
          </cell>
          <cell r="G173">
            <v>62414.13</v>
          </cell>
          <cell r="H173">
            <v>33155.53</v>
          </cell>
          <cell r="I173">
            <v>7884.93</v>
          </cell>
          <cell r="J173">
            <v>0</v>
          </cell>
          <cell r="K173">
            <v>621580.6100000001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  <cell r="F176">
            <v>800000</v>
          </cell>
          <cell r="G176">
            <v>1312500</v>
          </cell>
          <cell r="H176">
            <v>375000</v>
          </cell>
          <cell r="I176">
            <v>0</v>
          </cell>
          <cell r="J176">
            <v>0</v>
          </cell>
          <cell r="K176">
            <v>2487500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44255700.740000002</v>
          </cell>
          <cell r="F180">
            <v>133064.07</v>
          </cell>
          <cell r="G180">
            <v>1632546.21</v>
          </cell>
          <cell r="H180">
            <v>8875903.3900000006</v>
          </cell>
          <cell r="I180">
            <v>0</v>
          </cell>
          <cell r="J180">
            <v>0</v>
          </cell>
          <cell r="K180">
            <v>54897214.410000004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  <cell r="F181">
            <v>1023771.42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1023771.42</v>
          </cell>
        </row>
        <row r="182">
          <cell r="B182">
            <v>7800</v>
          </cell>
          <cell r="C182" t="str">
            <v>Miscellaneous Expense Account</v>
          </cell>
          <cell r="D182">
            <v>1538340.38</v>
          </cell>
          <cell r="E182">
            <v>326708.3</v>
          </cell>
          <cell r="F182">
            <v>1326260.2</v>
          </cell>
          <cell r="G182">
            <v>2262098.14</v>
          </cell>
          <cell r="H182">
            <v>351262.27</v>
          </cell>
          <cell r="I182">
            <v>239857.95</v>
          </cell>
          <cell r="J182">
            <v>38422.300000000003</v>
          </cell>
          <cell r="K182">
            <v>6082949.5399999991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36597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36597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40722.71</v>
          </cell>
          <cell r="E184">
            <v>1112119.6100000001</v>
          </cell>
          <cell r="F184">
            <v>565785.52</v>
          </cell>
          <cell r="G184">
            <v>1128684.3500000001</v>
          </cell>
          <cell r="H184">
            <v>550808.69999999995</v>
          </cell>
          <cell r="I184">
            <v>0</v>
          </cell>
          <cell r="J184">
            <v>255403.92</v>
          </cell>
          <cell r="K184">
            <v>3653524.8100000005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  <cell r="F185">
            <v>30487046.050000001</v>
          </cell>
          <cell r="G185">
            <v>37187839.259999998</v>
          </cell>
          <cell r="H185">
            <v>10867501.32</v>
          </cell>
          <cell r="I185">
            <v>0</v>
          </cell>
          <cell r="J185">
            <v>0</v>
          </cell>
          <cell r="K185">
            <v>78542386.629999995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99824.15</v>
          </cell>
          <cell r="I186">
            <v>0</v>
          </cell>
          <cell r="J186">
            <v>0</v>
          </cell>
          <cell r="K186">
            <v>99824.15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>
            <v>0</v>
          </cell>
        </row>
        <row r="191">
          <cell r="B191">
            <v>7854</v>
          </cell>
          <cell r="C191" t="str">
            <v xml:space="preserve">Payment to resource persons and expenses related to refreshment,stationary etc </v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>
            <v>0</v>
          </cell>
        </row>
        <row r="192">
          <cell r="B192">
            <v>0</v>
          </cell>
          <cell r="C192" t="str">
            <v>OTHER EXPENSES - SUB TOTAL</v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>
            <v>470147311.43000001</v>
          </cell>
        </row>
        <row r="193">
          <cell r="B193">
            <v>0</v>
          </cell>
          <cell r="C193" t="str">
            <v>FINANCE COST</v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>
            <v>0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994.5</v>
          </cell>
          <cell r="E196">
            <v>25276.5</v>
          </cell>
          <cell r="F196">
            <v>12055.3</v>
          </cell>
          <cell r="G196">
            <v>5479.5</v>
          </cell>
          <cell r="H196">
            <v>10826.63</v>
          </cell>
          <cell r="I196">
            <v>0</v>
          </cell>
          <cell r="J196">
            <v>153</v>
          </cell>
          <cell r="K196">
            <v>54785.43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1197696.3700000001</v>
          </cell>
          <cell r="F200">
            <v>1885972.58</v>
          </cell>
          <cell r="G200">
            <v>12304028.08</v>
          </cell>
          <cell r="H200">
            <v>4958439.26</v>
          </cell>
          <cell r="I200">
            <v>0</v>
          </cell>
          <cell r="J200">
            <v>0</v>
          </cell>
          <cell r="K200">
            <v>20346136.289999999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759134.8</v>
          </cell>
          <cell r="F203">
            <v>163350</v>
          </cell>
          <cell r="G203">
            <v>492125</v>
          </cell>
          <cell r="H203">
            <v>51250</v>
          </cell>
          <cell r="I203">
            <v>0</v>
          </cell>
          <cell r="J203">
            <v>0</v>
          </cell>
          <cell r="K203">
            <v>1465859.8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B208">
            <v>9300</v>
          </cell>
          <cell r="C208" t="str">
            <v>Deferred tax expense/( income )</v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>
            <v>0</v>
          </cell>
        </row>
      </sheetData>
      <sheetData sheetId="22">
        <row r="9">
          <cell r="B9">
            <v>1100</v>
          </cell>
        </row>
      </sheetData>
      <sheetData sheetId="23">
        <row r="9">
          <cell r="B9">
            <v>1100</v>
          </cell>
        </row>
      </sheetData>
      <sheetData sheetId="24"/>
      <sheetData sheetId="25"/>
      <sheetData sheetId="26"/>
      <sheetData sheetId="27"/>
      <sheetData sheetId="28"/>
      <sheetData sheetId="29">
        <row r="9">
          <cell r="B9">
            <v>1100</v>
          </cell>
        </row>
      </sheetData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8AA4B-BE91-4E59-B061-66475A8A112A}">
  <sheetPr>
    <tabColor rgb="FFFF0000"/>
    <pageSetUpPr fitToPage="1"/>
  </sheetPr>
  <dimension ref="A1:AO61"/>
  <sheetViews>
    <sheetView tabSelected="1" topLeftCell="A7" workbookViewId="0">
      <selection activeCell="G1" sqref="G1:T1048576"/>
    </sheetView>
  </sheetViews>
  <sheetFormatPr defaultColWidth="9.1796875" defaultRowHeight="14.5" x14ac:dyDescent="0.35"/>
  <cols>
    <col min="1" max="1" width="41.453125" style="202" customWidth="1"/>
    <col min="2" max="2" width="14" style="202" customWidth="1"/>
    <col min="3" max="3" width="10.26953125" style="202" customWidth="1"/>
    <col min="4" max="4" width="12.453125" style="202" customWidth="1"/>
    <col min="5" max="6" width="13.453125" style="202" customWidth="1"/>
    <col min="7" max="20" width="11.81640625" style="202" customWidth="1"/>
    <col min="21" max="32" width="14.7265625" style="202" customWidth="1"/>
    <col min="33" max="34" width="14" style="202" customWidth="1"/>
    <col min="35" max="35" width="9.7265625" style="202" customWidth="1"/>
    <col min="36" max="36" width="9.54296875" style="202" customWidth="1"/>
    <col min="37" max="37" width="5.54296875" style="202" customWidth="1"/>
    <col min="38" max="40" width="9.1796875" style="202"/>
    <col min="41" max="41" width="12.81640625" style="202" bestFit="1" customWidth="1"/>
    <col min="42" max="16384" width="9.1796875" style="202"/>
  </cols>
  <sheetData>
    <row r="1" spans="1:41" s="183" customFormat="1" ht="23.25" customHeight="1" x14ac:dyDescent="0.35">
      <c r="A1" s="49" t="s">
        <v>0</v>
      </c>
      <c r="B1" s="49"/>
      <c r="C1" s="49"/>
      <c r="D1" s="49"/>
      <c r="E1" s="49"/>
      <c r="F1" s="49"/>
      <c r="AD1" s="183" t="s">
        <v>1</v>
      </c>
      <c r="AE1" s="183" t="s">
        <v>2</v>
      </c>
      <c r="AF1" s="183" t="s">
        <v>2</v>
      </c>
      <c r="AG1" s="183" t="s">
        <v>3</v>
      </c>
      <c r="AH1" s="183" t="s">
        <v>4</v>
      </c>
      <c r="AI1" s="183" t="s">
        <v>5</v>
      </c>
      <c r="AJ1" s="183" t="s">
        <v>6</v>
      </c>
    </row>
    <row r="2" spans="1:41" s="183" customFormat="1" ht="23.25" customHeight="1" x14ac:dyDescent="0.35">
      <c r="A2" s="49" t="s">
        <v>211</v>
      </c>
      <c r="B2" s="49"/>
      <c r="C2" s="49"/>
      <c r="D2" s="49"/>
      <c r="E2" s="49"/>
      <c r="F2" s="49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AF2" s="183">
        <v>745</v>
      </c>
      <c r="AG2" s="183">
        <v>819.59836726092897</v>
      </c>
      <c r="AH2" s="183">
        <v>781.29795137295082</v>
      </c>
      <c r="AI2" s="183">
        <v>741.42640832650272</v>
      </c>
      <c r="AJ2" s="183">
        <v>953.50546364071045</v>
      </c>
      <c r="AK2" s="183">
        <v>5784.4046179849729</v>
      </c>
    </row>
    <row r="3" spans="1:41" s="183" customFormat="1" ht="23.25" customHeight="1" x14ac:dyDescent="0.35">
      <c r="A3" s="185" t="s">
        <v>212</v>
      </c>
      <c r="B3" s="185"/>
      <c r="C3" s="185"/>
      <c r="D3" s="185"/>
      <c r="E3" s="185"/>
      <c r="F3" s="185"/>
      <c r="L3" s="186"/>
      <c r="M3" s="186"/>
      <c r="N3" s="186"/>
      <c r="O3" s="186"/>
      <c r="AF3" s="183">
        <v>213</v>
      </c>
      <c r="AG3" s="183">
        <v>208.5625</v>
      </c>
      <c r="AH3" s="183">
        <v>204.125</v>
      </c>
      <c r="AI3" s="183">
        <v>199.6875</v>
      </c>
      <c r="AJ3" s="183">
        <v>195.25</v>
      </c>
      <c r="AK3" s="183">
        <v>1459.9375</v>
      </c>
    </row>
    <row r="4" spans="1:41" s="183" customFormat="1" ht="14.25" customHeight="1" thickBot="1" x14ac:dyDescent="0.4">
      <c r="A4" s="185" t="s">
        <v>105</v>
      </c>
      <c r="B4" s="186"/>
      <c r="C4" s="186"/>
      <c r="D4" s="186"/>
      <c r="E4" s="186"/>
      <c r="F4" s="186"/>
    </row>
    <row r="5" spans="1:41" s="183" customFormat="1" ht="23.25" customHeight="1" x14ac:dyDescent="0.35">
      <c r="A5" s="369" t="s">
        <v>9</v>
      </c>
      <c r="B5" s="374" t="s">
        <v>71</v>
      </c>
      <c r="C5" s="376" t="s">
        <v>73</v>
      </c>
      <c r="D5" s="376" t="s">
        <v>184</v>
      </c>
      <c r="E5" s="378" t="s">
        <v>185</v>
      </c>
      <c r="F5" s="376" t="s">
        <v>74</v>
      </c>
      <c r="G5" s="61">
        <v>45658</v>
      </c>
      <c r="H5" s="61">
        <v>45689</v>
      </c>
      <c r="I5" s="61">
        <v>45717</v>
      </c>
      <c r="J5" s="61">
        <v>45748</v>
      </c>
      <c r="K5" s="61">
        <v>45778</v>
      </c>
      <c r="L5" s="61">
        <v>45809</v>
      </c>
      <c r="M5" s="61">
        <v>45839</v>
      </c>
      <c r="N5" s="61">
        <v>45870</v>
      </c>
      <c r="O5" s="61">
        <v>45901</v>
      </c>
      <c r="P5" s="61">
        <v>45931</v>
      </c>
      <c r="Q5" s="61">
        <v>45962</v>
      </c>
      <c r="R5" s="61">
        <v>45992</v>
      </c>
      <c r="S5" s="187" t="s">
        <v>187</v>
      </c>
      <c r="T5" s="187" t="s">
        <v>188</v>
      </c>
    </row>
    <row r="6" spans="1:41" s="183" customFormat="1" ht="32.25" customHeight="1" thickBot="1" x14ac:dyDescent="0.4">
      <c r="A6" s="370"/>
      <c r="B6" s="375"/>
      <c r="C6" s="377"/>
      <c r="D6" s="377"/>
      <c r="E6" s="379"/>
      <c r="F6" s="377"/>
      <c r="G6" s="214" t="s">
        <v>10</v>
      </c>
      <c r="H6" s="214" t="s">
        <v>10</v>
      </c>
      <c r="I6" s="214" t="s">
        <v>10</v>
      </c>
      <c r="J6" s="214" t="s">
        <v>10</v>
      </c>
      <c r="K6" s="214" t="s">
        <v>10</v>
      </c>
      <c r="L6" s="214" t="s">
        <v>10</v>
      </c>
      <c r="M6" s="214" t="s">
        <v>10</v>
      </c>
      <c r="N6" s="214" t="s">
        <v>10</v>
      </c>
      <c r="O6" s="214" t="s">
        <v>10</v>
      </c>
      <c r="P6" s="214" t="s">
        <v>10</v>
      </c>
      <c r="Q6" s="214" t="s">
        <v>10</v>
      </c>
      <c r="R6" s="214" t="s">
        <v>10</v>
      </c>
      <c r="S6" s="188" t="s">
        <v>10</v>
      </c>
      <c r="T6" s="328" t="s">
        <v>189</v>
      </c>
    </row>
    <row r="7" spans="1:41" s="183" customFormat="1" ht="23.25" customHeight="1" x14ac:dyDescent="0.35">
      <c r="A7" s="25" t="s">
        <v>82</v>
      </c>
      <c r="B7" s="25" t="s">
        <v>72</v>
      </c>
      <c r="C7" s="371" t="s">
        <v>76</v>
      </c>
      <c r="D7" s="372"/>
      <c r="E7" s="372"/>
      <c r="F7" s="373"/>
      <c r="G7" s="189">
        <v>565.68951844014668</v>
      </c>
      <c r="H7" s="189">
        <v>550.24045839598011</v>
      </c>
      <c r="I7" s="189">
        <v>536.33447229114654</v>
      </c>
      <c r="J7" s="189">
        <v>512.60990285317678</v>
      </c>
      <c r="K7" s="9">
        <v>498.39608341501008</v>
      </c>
      <c r="L7" s="9">
        <v>700.18226397684327</v>
      </c>
      <c r="M7" s="9">
        <v>459.52052787200995</v>
      </c>
      <c r="N7" s="9">
        <v>445.30670843384343</v>
      </c>
      <c r="O7" s="9">
        <v>431.09288899567667</v>
      </c>
      <c r="P7" s="9">
        <v>406.07065289084335</v>
      </c>
      <c r="Q7" s="9">
        <v>393.19291678601002</v>
      </c>
      <c r="R7" s="9">
        <v>569.94609734784331</v>
      </c>
      <c r="S7" s="190">
        <f>SUM(G7:R7)</f>
        <v>6068.5824916985302</v>
      </c>
      <c r="T7" s="329">
        <v>10730.081857251142</v>
      </c>
      <c r="U7" s="191">
        <v>7304.5199917738619</v>
      </c>
      <c r="AL7" s="184">
        <v>10163.821792774976</v>
      </c>
      <c r="AM7" s="184">
        <f>S7-AL7</f>
        <v>-4095.2393010764454</v>
      </c>
      <c r="AO7" s="186"/>
    </row>
    <row r="8" spans="1:41" s="183" customFormat="1" ht="23.25" customHeight="1" x14ac:dyDescent="0.35">
      <c r="A8" s="315" t="s">
        <v>14</v>
      </c>
      <c r="B8" s="315" t="s">
        <v>72</v>
      </c>
      <c r="C8" s="316">
        <v>0</v>
      </c>
      <c r="D8" s="317">
        <v>10190.544085670002</v>
      </c>
      <c r="E8" s="318">
        <v>10200</v>
      </c>
      <c r="F8" s="315" t="s">
        <v>75</v>
      </c>
      <c r="G8" s="189">
        <v>500</v>
      </c>
      <c r="H8" s="189">
        <v>500</v>
      </c>
      <c r="I8" s="189">
        <v>500</v>
      </c>
      <c r="J8" s="189">
        <v>500</v>
      </c>
      <c r="K8" s="189">
        <v>500</v>
      </c>
      <c r="L8" s="189">
        <v>500</v>
      </c>
      <c r="M8" s="189">
        <v>400</v>
      </c>
      <c r="N8" s="189">
        <v>400</v>
      </c>
      <c r="O8" s="189">
        <v>400</v>
      </c>
      <c r="P8" s="189">
        <v>400</v>
      </c>
      <c r="Q8" s="189">
        <v>400</v>
      </c>
      <c r="R8" s="189">
        <v>400</v>
      </c>
      <c r="S8" s="190">
        <f t="shared" ref="S8:S12" si="0">SUM(G8:R8)</f>
        <v>5400</v>
      </c>
      <c r="T8" s="330">
        <v>3068.0324599999999</v>
      </c>
      <c r="U8" s="191">
        <v>5400</v>
      </c>
      <c r="AL8" s="184">
        <v>3790.9634186100002</v>
      </c>
      <c r="AM8" s="184">
        <f t="shared" ref="AM8:AM14" si="1">S8-AL8</f>
        <v>1609.0365813899998</v>
      </c>
      <c r="AO8" s="186"/>
    </row>
    <row r="9" spans="1:41" s="183" customFormat="1" ht="23.25" customHeight="1" x14ac:dyDescent="0.35">
      <c r="A9" s="25" t="s">
        <v>15</v>
      </c>
      <c r="B9" s="25" t="s">
        <v>72</v>
      </c>
      <c r="C9" s="24">
        <v>0</v>
      </c>
      <c r="D9" s="35">
        <v>5</v>
      </c>
      <c r="E9" s="31">
        <v>2</v>
      </c>
      <c r="F9" s="25" t="s">
        <v>80</v>
      </c>
      <c r="G9" s="189">
        <v>20</v>
      </c>
      <c r="H9" s="189">
        <v>20</v>
      </c>
      <c r="I9" s="189">
        <v>20</v>
      </c>
      <c r="J9" s="189">
        <v>20</v>
      </c>
      <c r="K9" s="189">
        <v>20</v>
      </c>
      <c r="L9" s="189">
        <v>20</v>
      </c>
      <c r="M9" s="189">
        <f>80/6</f>
        <v>13.333333333333334</v>
      </c>
      <c r="N9" s="189">
        <f t="shared" ref="N9:R9" si="2">80/6</f>
        <v>13.333333333333334</v>
      </c>
      <c r="O9" s="189">
        <f t="shared" si="2"/>
        <v>13.333333333333334</v>
      </c>
      <c r="P9" s="189">
        <f t="shared" si="2"/>
        <v>13.333333333333334</v>
      </c>
      <c r="Q9" s="189">
        <f t="shared" si="2"/>
        <v>13.333333333333334</v>
      </c>
      <c r="R9" s="189">
        <f t="shared" si="2"/>
        <v>13.333333333333334</v>
      </c>
      <c r="S9" s="190">
        <f t="shared" si="0"/>
        <v>200.00000000000006</v>
      </c>
      <c r="T9" s="330">
        <v>1983.3592098760491</v>
      </c>
      <c r="U9" s="191">
        <v>200.00000000000006</v>
      </c>
      <c r="V9" s="184"/>
      <c r="W9" s="192">
        <f>V9/4</f>
        <v>0</v>
      </c>
      <c r="AL9" s="232">
        <v>1982.6234234157141</v>
      </c>
      <c r="AM9" s="184">
        <f t="shared" si="1"/>
        <v>-1782.6234234157141</v>
      </c>
      <c r="AO9" s="186"/>
    </row>
    <row r="10" spans="1:41" s="183" customFormat="1" ht="23.25" customHeight="1" x14ac:dyDescent="0.35">
      <c r="A10" s="25" t="s">
        <v>16</v>
      </c>
      <c r="B10" s="25" t="s">
        <v>72</v>
      </c>
      <c r="C10" s="24">
        <v>0</v>
      </c>
      <c r="D10" s="35">
        <v>1428</v>
      </c>
      <c r="E10" s="31">
        <v>5</v>
      </c>
      <c r="F10" s="25" t="s">
        <v>81</v>
      </c>
      <c r="G10" s="189">
        <v>50</v>
      </c>
      <c r="H10" s="189">
        <v>50</v>
      </c>
      <c r="I10" s="189">
        <v>50</v>
      </c>
      <c r="J10" s="189">
        <v>50</v>
      </c>
      <c r="K10" s="189">
        <v>50</v>
      </c>
      <c r="L10" s="189">
        <v>50</v>
      </c>
      <c r="M10" s="9">
        <f>200/6</f>
        <v>33.333333333333336</v>
      </c>
      <c r="N10" s="9">
        <f t="shared" ref="N10:R10" si="3">200/6</f>
        <v>33.333333333333336</v>
      </c>
      <c r="O10" s="9">
        <f t="shared" si="3"/>
        <v>33.333333333333336</v>
      </c>
      <c r="P10" s="9">
        <f t="shared" si="3"/>
        <v>33.333333333333336</v>
      </c>
      <c r="Q10" s="9">
        <f t="shared" si="3"/>
        <v>33.333333333333336</v>
      </c>
      <c r="R10" s="9">
        <f t="shared" si="3"/>
        <v>33.333333333333336</v>
      </c>
      <c r="S10" s="190">
        <f t="shared" si="0"/>
        <v>499.99999999999989</v>
      </c>
      <c r="T10" s="330">
        <v>9168.7404724900007</v>
      </c>
      <c r="U10" s="191">
        <v>499.99999999999989</v>
      </c>
      <c r="V10" s="192"/>
      <c r="AL10" s="232">
        <v>4193.4187243100005</v>
      </c>
      <c r="AM10" s="184">
        <f t="shared" si="1"/>
        <v>-3693.4187243100005</v>
      </c>
      <c r="AO10" s="233"/>
    </row>
    <row r="11" spans="1:41" s="183" customFormat="1" ht="23.25" customHeight="1" x14ac:dyDescent="0.35">
      <c r="A11" s="25" t="s">
        <v>17</v>
      </c>
      <c r="B11" s="25" t="s">
        <v>72</v>
      </c>
      <c r="C11" s="31">
        <v>20000</v>
      </c>
      <c r="D11" s="35">
        <v>20000</v>
      </c>
      <c r="E11" s="31">
        <v>20000</v>
      </c>
      <c r="F11" s="32">
        <v>9.35E-2</v>
      </c>
      <c r="G11" s="189">
        <f>1870/12</f>
        <v>155.83333333333334</v>
      </c>
      <c r="H11" s="189">
        <f t="shared" ref="H11:R11" si="4">1870/12</f>
        <v>155.83333333333334</v>
      </c>
      <c r="I11" s="189">
        <f t="shared" si="4"/>
        <v>155.83333333333334</v>
      </c>
      <c r="J11" s="189">
        <f t="shared" si="4"/>
        <v>155.83333333333334</v>
      </c>
      <c r="K11" s="189">
        <f t="shared" si="4"/>
        <v>155.83333333333334</v>
      </c>
      <c r="L11" s="189">
        <f t="shared" si="4"/>
        <v>155.83333333333334</v>
      </c>
      <c r="M11" s="189">
        <f t="shared" si="4"/>
        <v>155.83333333333334</v>
      </c>
      <c r="N11" s="189">
        <f t="shared" si="4"/>
        <v>155.83333333333334</v>
      </c>
      <c r="O11" s="189">
        <f t="shared" si="4"/>
        <v>155.83333333333334</v>
      </c>
      <c r="P11" s="189">
        <f t="shared" si="4"/>
        <v>155.83333333333334</v>
      </c>
      <c r="Q11" s="189">
        <f t="shared" si="4"/>
        <v>155.83333333333334</v>
      </c>
      <c r="R11" s="189">
        <f t="shared" si="4"/>
        <v>155.83333333333334</v>
      </c>
      <c r="S11" s="190">
        <f t="shared" si="0"/>
        <v>1869.9999999999998</v>
      </c>
      <c r="T11" s="330">
        <v>1870.4363801200002</v>
      </c>
      <c r="U11" s="191">
        <v>1869.9999999999998</v>
      </c>
      <c r="V11" s="192"/>
      <c r="W11" s="186"/>
      <c r="X11" s="192"/>
      <c r="AL11" s="232">
        <v>1870.0000000000005</v>
      </c>
      <c r="AM11" s="184">
        <f t="shared" si="1"/>
        <v>0</v>
      </c>
      <c r="AO11" s="186"/>
    </row>
    <row r="12" spans="1:41" s="183" customFormat="1" ht="23.25" customHeight="1" thickBot="1" x14ac:dyDescent="0.4">
      <c r="A12" s="27" t="s">
        <v>18</v>
      </c>
      <c r="B12" s="27" t="s">
        <v>72</v>
      </c>
      <c r="C12" s="28">
        <v>0</v>
      </c>
      <c r="D12" s="217">
        <v>14</v>
      </c>
      <c r="E12" s="30">
        <v>11</v>
      </c>
      <c r="F12" s="27"/>
      <c r="G12" s="218">
        <f>19/12</f>
        <v>1.5833333333333333</v>
      </c>
      <c r="H12" s="218">
        <f t="shared" ref="H12:R12" si="5">19/12</f>
        <v>1.5833333333333333</v>
      </c>
      <c r="I12" s="218">
        <f t="shared" si="5"/>
        <v>1.5833333333333333</v>
      </c>
      <c r="J12" s="218">
        <f t="shared" si="5"/>
        <v>1.5833333333333333</v>
      </c>
      <c r="K12" s="218">
        <f t="shared" si="5"/>
        <v>1.5833333333333333</v>
      </c>
      <c r="L12" s="218">
        <f t="shared" si="5"/>
        <v>1.5833333333333333</v>
      </c>
      <c r="M12" s="218">
        <f t="shared" si="5"/>
        <v>1.5833333333333333</v>
      </c>
      <c r="N12" s="218">
        <f t="shared" si="5"/>
        <v>1.5833333333333333</v>
      </c>
      <c r="O12" s="218">
        <f t="shared" si="5"/>
        <v>1.5833333333333333</v>
      </c>
      <c r="P12" s="218">
        <f t="shared" si="5"/>
        <v>1.5833333333333333</v>
      </c>
      <c r="Q12" s="218">
        <f t="shared" si="5"/>
        <v>1.5833333333333333</v>
      </c>
      <c r="R12" s="218">
        <f t="shared" si="5"/>
        <v>1.5833333333333333</v>
      </c>
      <c r="S12" s="190">
        <f t="shared" si="0"/>
        <v>19</v>
      </c>
      <c r="T12" s="330">
        <v>18.816772139999998</v>
      </c>
      <c r="U12" s="191">
        <v>19</v>
      </c>
      <c r="W12" s="186"/>
      <c r="AL12" s="232">
        <v>18.677482393333332</v>
      </c>
      <c r="AM12" s="184">
        <f t="shared" si="1"/>
        <v>0.3225176066666684</v>
      </c>
      <c r="AO12" s="233"/>
    </row>
    <row r="13" spans="1:41" s="183" customFormat="1" ht="23.25" customHeight="1" thickBot="1" x14ac:dyDescent="0.4">
      <c r="A13" s="220" t="s">
        <v>77</v>
      </c>
      <c r="B13" s="221" t="s">
        <v>72</v>
      </c>
      <c r="C13" s="222"/>
      <c r="D13" s="223"/>
      <c r="E13" s="222"/>
      <c r="F13" s="224"/>
      <c r="G13" s="225">
        <f>SUM(G7:G12)</f>
        <v>1293.1061851068132</v>
      </c>
      <c r="H13" s="225">
        <f>SUM(H7:H12)</f>
        <v>1277.6571250626466</v>
      </c>
      <c r="I13" s="225">
        <f>SUM(I7:I12)</f>
        <v>1263.7511389578131</v>
      </c>
      <c r="J13" s="225">
        <f t="shared" ref="J13:R13" si="6">SUM(J7:J12)</f>
        <v>1240.0265695198432</v>
      </c>
      <c r="K13" s="225">
        <f t="shared" si="6"/>
        <v>1225.8127500816765</v>
      </c>
      <c r="L13" s="225">
        <f t="shared" si="6"/>
        <v>1427.5989306435099</v>
      </c>
      <c r="M13" s="225">
        <f t="shared" si="6"/>
        <v>1063.6038612053433</v>
      </c>
      <c r="N13" s="225">
        <f t="shared" si="6"/>
        <v>1049.3900417671766</v>
      </c>
      <c r="O13" s="225">
        <f t="shared" si="6"/>
        <v>1035.17622232901</v>
      </c>
      <c r="P13" s="225">
        <f t="shared" si="6"/>
        <v>1010.1539862241768</v>
      </c>
      <c r="Q13" s="225">
        <f t="shared" si="6"/>
        <v>997.27625011934356</v>
      </c>
      <c r="R13" s="225">
        <f t="shared" si="6"/>
        <v>1174.0294306811766</v>
      </c>
      <c r="S13" s="226">
        <f>G13+H13+I13+J13+K13+L13+M13+N13+O13+P13+Q13+R13</f>
        <v>14057.582491698529</v>
      </c>
      <c r="T13" s="331">
        <v>26839.46715187719</v>
      </c>
      <c r="U13" s="193">
        <v>15293.519991773863</v>
      </c>
      <c r="W13" s="186"/>
      <c r="AL13" s="184">
        <v>22019.504841504022</v>
      </c>
      <c r="AM13" s="184">
        <f>S13-AL13</f>
        <v>-7961.9223498054926</v>
      </c>
      <c r="AO13" s="186"/>
    </row>
    <row r="14" spans="1:41" s="183" customFormat="1" ht="23.25" customHeight="1" thickBot="1" x14ac:dyDescent="0.4">
      <c r="A14" s="27" t="s">
        <v>70</v>
      </c>
      <c r="B14" s="27" t="s">
        <v>72</v>
      </c>
      <c r="C14" s="28">
        <v>0</v>
      </c>
      <c r="D14" s="27">
        <v>0</v>
      </c>
      <c r="E14" s="28">
        <v>0</v>
      </c>
      <c r="F14" s="27">
        <v>0</v>
      </c>
      <c r="G14" s="194">
        <v>0</v>
      </c>
      <c r="H14" s="194">
        <v>0</v>
      </c>
      <c r="I14" s="195">
        <v>0</v>
      </c>
      <c r="J14" s="195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219">
        <v>0</v>
      </c>
      <c r="T14" s="330">
        <v>0</v>
      </c>
      <c r="U14" s="191">
        <v>2916.6666620000001</v>
      </c>
      <c r="W14" s="186"/>
      <c r="AL14" s="184">
        <v>1533.77</v>
      </c>
      <c r="AM14" s="184">
        <f t="shared" si="1"/>
        <v>-1533.77</v>
      </c>
      <c r="AO14" s="233"/>
    </row>
    <row r="15" spans="1:41" s="183" customFormat="1" ht="23.25" customHeight="1" thickBot="1" x14ac:dyDescent="0.4">
      <c r="A15" s="227" t="s">
        <v>19</v>
      </c>
      <c r="B15" s="227"/>
      <c r="C15" s="228"/>
      <c r="D15" s="227"/>
      <c r="E15" s="228"/>
      <c r="F15" s="227"/>
      <c r="G15" s="225">
        <f t="shared" ref="G15:T15" si="7">SUM(G13:G14)</f>
        <v>1293.1061851068132</v>
      </c>
      <c r="H15" s="225">
        <f t="shared" si="7"/>
        <v>1277.6571250626466</v>
      </c>
      <c r="I15" s="225">
        <f t="shared" si="7"/>
        <v>1263.7511389578131</v>
      </c>
      <c r="J15" s="225">
        <f t="shared" si="7"/>
        <v>1240.0265695198432</v>
      </c>
      <c r="K15" s="225">
        <f t="shared" si="7"/>
        <v>1225.8127500816765</v>
      </c>
      <c r="L15" s="225">
        <f t="shared" si="7"/>
        <v>1427.5989306435099</v>
      </c>
      <c r="M15" s="225">
        <f t="shared" si="7"/>
        <v>1063.6038612053433</v>
      </c>
      <c r="N15" s="225">
        <f t="shared" si="7"/>
        <v>1049.3900417671766</v>
      </c>
      <c r="O15" s="225">
        <f t="shared" si="7"/>
        <v>1035.17622232901</v>
      </c>
      <c r="P15" s="225">
        <f t="shared" si="7"/>
        <v>1010.1539862241768</v>
      </c>
      <c r="Q15" s="225">
        <f t="shared" si="7"/>
        <v>997.27625011934356</v>
      </c>
      <c r="R15" s="225">
        <f t="shared" si="7"/>
        <v>1174.0294306811766</v>
      </c>
      <c r="S15" s="225">
        <f t="shared" si="7"/>
        <v>14057.582491698529</v>
      </c>
      <c r="T15" s="225">
        <f t="shared" si="7"/>
        <v>26839.46715187719</v>
      </c>
      <c r="U15" s="193">
        <f>U14+U13</f>
        <v>18210.186653773864</v>
      </c>
      <c r="AL15" s="184">
        <v>27302.274841504022</v>
      </c>
      <c r="AM15" s="184" t="e">
        <f>AM14+#REF!+AM13</f>
        <v>#REF!</v>
      </c>
    </row>
    <row r="16" spans="1:41" s="197" customFormat="1" ht="11.5" x14ac:dyDescent="0.25">
      <c r="G16" s="198"/>
      <c r="H16" s="198"/>
      <c r="L16" s="199">
        <f>SUM(G15:L15)</f>
        <v>7727.952699372303</v>
      </c>
      <c r="M16" s="199"/>
      <c r="N16" s="199"/>
      <c r="O16" s="199"/>
      <c r="P16" s="199"/>
      <c r="Q16" s="199"/>
      <c r="R16" s="199">
        <f>SUM(M15:R15)</f>
        <v>6329.6297923262273</v>
      </c>
      <c r="S16" s="199"/>
      <c r="T16" s="199"/>
      <c r="U16" s="199"/>
    </row>
    <row r="17" spans="1:21" s="197" customFormat="1" ht="14" x14ac:dyDescent="0.3">
      <c r="A17" s="215" t="s">
        <v>79</v>
      </c>
      <c r="M17" s="199"/>
      <c r="N17" s="199"/>
      <c r="O17" s="199"/>
      <c r="P17" s="199"/>
      <c r="Q17" s="199"/>
      <c r="R17" s="199"/>
      <c r="U17" s="199"/>
    </row>
    <row r="18" spans="1:21" s="197" customFormat="1" ht="14" x14ac:dyDescent="0.3">
      <c r="A18" s="216" t="s">
        <v>186</v>
      </c>
      <c r="F18" s="229"/>
      <c r="G18" s="229"/>
      <c r="H18" s="229"/>
      <c r="I18" s="229"/>
      <c r="J18" s="229"/>
      <c r="K18" s="229"/>
      <c r="L18" s="229"/>
      <c r="M18" s="229"/>
      <c r="N18" s="229"/>
    </row>
    <row r="19" spans="1:21" s="197" customFormat="1" ht="11.5" x14ac:dyDescent="0.25">
      <c r="F19" s="229"/>
      <c r="G19" s="229"/>
      <c r="H19" s="229"/>
      <c r="I19" s="229"/>
      <c r="J19" s="229"/>
      <c r="K19" s="229"/>
      <c r="L19" s="229"/>
      <c r="M19" s="229"/>
      <c r="N19" s="229"/>
    </row>
    <row r="20" spans="1:21" s="197" customFormat="1" ht="11.5" hidden="1" x14ac:dyDescent="0.25">
      <c r="F20" s="229"/>
      <c r="G20" s="229"/>
      <c r="H20" s="229"/>
      <c r="I20" s="229"/>
      <c r="J20" s="229"/>
      <c r="K20" s="229"/>
      <c r="L20" s="229"/>
      <c r="M20" s="229"/>
      <c r="N20" s="229"/>
    </row>
    <row r="21" spans="1:21" s="200" customFormat="1" hidden="1" x14ac:dyDescent="0.35">
      <c r="B21" s="201" t="s">
        <v>85</v>
      </c>
      <c r="C21" s="201" t="s">
        <v>86</v>
      </c>
      <c r="D21" s="201" t="s">
        <v>22</v>
      </c>
      <c r="E21" s="201" t="s">
        <v>23</v>
      </c>
      <c r="F21" s="230"/>
      <c r="G21" s="230"/>
      <c r="H21" s="230"/>
      <c r="I21" s="230"/>
      <c r="J21" s="231"/>
      <c r="K21" s="231"/>
      <c r="L21" s="231"/>
      <c r="M21" s="231"/>
      <c r="N21" s="229"/>
    </row>
    <row r="22" spans="1:21" hidden="1" x14ac:dyDescent="0.35">
      <c r="A22" s="202" t="s">
        <v>87</v>
      </c>
      <c r="B22" s="203">
        <v>612.93839715000001</v>
      </c>
      <c r="C22" s="203">
        <v>718.32068803000016</v>
      </c>
      <c r="D22" s="203">
        <v>27.766833429999881</v>
      </c>
      <c r="E22" s="203">
        <v>1057.6264771299996</v>
      </c>
      <c r="F22" s="203"/>
      <c r="G22" s="203"/>
      <c r="H22" s="203"/>
      <c r="I22" s="203"/>
      <c r="J22" s="203"/>
      <c r="K22" s="203"/>
      <c r="L22" s="203"/>
      <c r="M22" s="203"/>
      <c r="N22" s="229"/>
    </row>
    <row r="23" spans="1:21" hidden="1" x14ac:dyDescent="0.35">
      <c r="A23" s="202" t="s">
        <v>88</v>
      </c>
      <c r="B23" s="203">
        <v>471.80581748999998</v>
      </c>
      <c r="C23" s="203">
        <v>952.46435730000007</v>
      </c>
      <c r="D23" s="203">
        <v>2060.5017738200008</v>
      </c>
      <c r="E23" s="203">
        <v>756.34311568999897</v>
      </c>
      <c r="F23" s="203"/>
      <c r="G23" s="203"/>
      <c r="H23" s="203"/>
      <c r="I23" s="203"/>
      <c r="J23" s="203"/>
      <c r="K23" s="203"/>
      <c r="L23" s="203"/>
      <c r="M23" s="203"/>
      <c r="N23" s="229"/>
    </row>
    <row r="24" spans="1:21" hidden="1" x14ac:dyDescent="0.35">
      <c r="A24" s="202" t="s">
        <v>89</v>
      </c>
      <c r="B24" s="203">
        <v>0</v>
      </c>
      <c r="C24" s="203">
        <v>56.502713999999997</v>
      </c>
      <c r="D24" s="203">
        <v>1101.2970906600001</v>
      </c>
      <c r="E24" s="203">
        <v>0</v>
      </c>
      <c r="F24" s="203"/>
      <c r="G24" s="203"/>
      <c r="H24" s="203"/>
      <c r="I24" s="203"/>
      <c r="J24" s="203"/>
      <c r="K24" s="203"/>
      <c r="L24" s="203"/>
      <c r="M24" s="203"/>
      <c r="N24" s="229"/>
    </row>
    <row r="25" spans="1:21" hidden="1" x14ac:dyDescent="0.35">
      <c r="A25" s="202" t="s">
        <v>90</v>
      </c>
      <c r="B25" s="203">
        <v>109.13939239</v>
      </c>
      <c r="C25" s="203">
        <v>202.92220512</v>
      </c>
      <c r="D25" s="203">
        <v>155.83333332999999</v>
      </c>
      <c r="E25" s="203">
        <v>109.29840016999998</v>
      </c>
      <c r="F25" s="203"/>
      <c r="G25" s="203"/>
      <c r="H25" s="203"/>
      <c r="I25" s="203"/>
      <c r="J25" s="203"/>
      <c r="K25" s="203"/>
      <c r="L25" s="203"/>
      <c r="M25" s="203"/>
      <c r="N25" s="229"/>
    </row>
    <row r="26" spans="1:21" hidden="1" x14ac:dyDescent="0.35">
      <c r="A26" s="202" t="s">
        <v>91</v>
      </c>
      <c r="B26" s="203">
        <v>0.34475563999999997</v>
      </c>
      <c r="C26" s="203">
        <v>0.33870560000000011</v>
      </c>
      <c r="D26" s="203">
        <v>0.28350820999999987</v>
      </c>
      <c r="E26" s="203">
        <v>0.26224856999999985</v>
      </c>
      <c r="F26" s="203"/>
      <c r="G26" s="203"/>
      <c r="H26" s="203"/>
      <c r="I26" s="203"/>
      <c r="J26" s="203"/>
      <c r="K26" s="203"/>
      <c r="L26" s="203"/>
      <c r="M26" s="203"/>
      <c r="N26" s="229"/>
    </row>
    <row r="27" spans="1:21" hidden="1" x14ac:dyDescent="0.35">
      <c r="A27" s="202" t="s">
        <v>92</v>
      </c>
      <c r="B27" s="203">
        <v>248.52488562000002</v>
      </c>
      <c r="C27" s="203">
        <v>171.17002360999999</v>
      </c>
      <c r="D27" s="203">
        <v>132.36939688999996</v>
      </c>
      <c r="E27" s="203">
        <v>30.27340301000001</v>
      </c>
      <c r="F27" s="203"/>
      <c r="G27" s="203"/>
      <c r="H27" s="203"/>
      <c r="I27" s="203"/>
      <c r="J27" s="203"/>
      <c r="K27" s="203"/>
      <c r="L27" s="203"/>
      <c r="M27" s="203"/>
      <c r="N27" s="229"/>
    </row>
    <row r="28" spans="1:21" hidden="1" x14ac:dyDescent="0.35">
      <c r="A28" s="202" t="s">
        <v>93</v>
      </c>
      <c r="B28" s="203">
        <v>0</v>
      </c>
      <c r="C28" s="203">
        <v>0</v>
      </c>
      <c r="D28" s="203">
        <v>0</v>
      </c>
      <c r="E28" s="203">
        <v>0</v>
      </c>
      <c r="F28" s="203"/>
      <c r="G28" s="203"/>
      <c r="H28" s="203"/>
      <c r="I28" s="203"/>
      <c r="J28" s="203"/>
      <c r="K28" s="203"/>
      <c r="L28" s="203"/>
      <c r="M28" s="203"/>
      <c r="N28" s="229"/>
    </row>
    <row r="29" spans="1:21" hidden="1" x14ac:dyDescent="0.35">
      <c r="A29" s="202" t="s">
        <v>94</v>
      </c>
      <c r="B29" s="203">
        <v>0</v>
      </c>
      <c r="C29" s="203">
        <v>0</v>
      </c>
      <c r="D29" s="203">
        <v>0</v>
      </c>
      <c r="E29" s="203">
        <v>0</v>
      </c>
      <c r="F29" s="203"/>
      <c r="G29" s="203"/>
      <c r="H29" s="203"/>
      <c r="I29" s="203"/>
      <c r="J29" s="203"/>
      <c r="K29" s="203"/>
      <c r="L29" s="203"/>
      <c r="M29" s="203"/>
      <c r="N29" s="229"/>
    </row>
    <row r="30" spans="1:21" hidden="1" x14ac:dyDescent="0.35">
      <c r="A30" s="202" t="s">
        <v>95</v>
      </c>
      <c r="B30" s="203">
        <v>135.91540543000002</v>
      </c>
      <c r="C30" s="203">
        <v>118.89251250999997</v>
      </c>
      <c r="D30" s="203">
        <v>128.61080637000003</v>
      </c>
      <c r="E30" s="203">
        <v>0</v>
      </c>
      <c r="F30" s="203"/>
      <c r="G30" s="203"/>
      <c r="H30" s="203"/>
      <c r="I30" s="203"/>
      <c r="J30" s="203"/>
      <c r="K30" s="203"/>
      <c r="L30" s="203"/>
      <c r="M30" s="203"/>
      <c r="N30" s="229"/>
    </row>
    <row r="31" spans="1:21" s="200" customFormat="1" ht="15" hidden="1" thickBot="1" x14ac:dyDescent="0.4">
      <c r="B31" s="204">
        <f>SUM(B22:B30)</f>
        <v>1578.6686537199998</v>
      </c>
      <c r="C31" s="204">
        <f>SUM(C22:C30)</f>
        <v>2220.6112061700001</v>
      </c>
      <c r="D31" s="204">
        <f t="shared" ref="D31:E31" si="8">SUM(D22:D30)</f>
        <v>3606.6627427100007</v>
      </c>
      <c r="E31" s="204">
        <f t="shared" si="8"/>
        <v>1953.8036445699986</v>
      </c>
      <c r="F31" s="204"/>
      <c r="G31" s="204"/>
      <c r="H31" s="204"/>
      <c r="I31" s="204"/>
      <c r="J31" s="231"/>
      <c r="K31" s="231"/>
      <c r="L31" s="231"/>
      <c r="M31" s="231"/>
      <c r="N31" s="229"/>
    </row>
    <row r="32" spans="1:21" ht="15" hidden="1" thickTop="1" x14ac:dyDescent="0.35">
      <c r="B32" s="205">
        <f>B31-B24</f>
        <v>1578.6686537199998</v>
      </c>
      <c r="C32" s="205">
        <f t="shared" ref="C32:E32" si="9">C31-C24</f>
        <v>2164.1084921699999</v>
      </c>
      <c r="D32" s="205">
        <f t="shared" si="9"/>
        <v>2505.3656520500008</v>
      </c>
      <c r="E32" s="205">
        <f t="shared" si="9"/>
        <v>1953.8036445699986</v>
      </c>
      <c r="F32" s="205"/>
      <c r="G32" s="203"/>
      <c r="H32" s="203"/>
      <c r="I32" s="203"/>
      <c r="J32" s="203"/>
      <c r="K32" s="203"/>
      <c r="L32" s="203"/>
      <c r="M32" s="203"/>
      <c r="N32" s="229"/>
    </row>
    <row r="33" spans="1:14" hidden="1" x14ac:dyDescent="0.35">
      <c r="G33" s="203"/>
      <c r="H33" s="203"/>
      <c r="I33" s="203"/>
      <c r="J33" s="203"/>
      <c r="K33" s="203"/>
      <c r="L33" s="203"/>
      <c r="M33" s="203"/>
      <c r="N33" s="229"/>
    </row>
    <row r="34" spans="1:14" ht="15.5" hidden="1" x14ac:dyDescent="0.35">
      <c r="A34" s="206" t="s">
        <v>96</v>
      </c>
      <c r="D34" s="203"/>
      <c r="G34" s="203"/>
      <c r="H34" s="203"/>
      <c r="I34" s="203"/>
      <c r="J34" s="203"/>
      <c r="K34" s="203"/>
      <c r="L34" s="203"/>
      <c r="M34" s="203"/>
      <c r="N34" s="229"/>
    </row>
    <row r="35" spans="1:14" hidden="1" x14ac:dyDescent="0.35">
      <c r="A35" s="207"/>
      <c r="B35" s="208" t="s">
        <v>97</v>
      </c>
      <c r="C35" s="208" t="s">
        <v>98</v>
      </c>
      <c r="G35" s="203"/>
      <c r="H35" s="203"/>
      <c r="I35" s="203"/>
      <c r="J35" s="203"/>
      <c r="K35" s="203"/>
      <c r="L35" s="203"/>
      <c r="M35" s="203"/>
      <c r="N35" s="229"/>
    </row>
    <row r="36" spans="1:14" hidden="1" x14ac:dyDescent="0.35">
      <c r="A36" s="209"/>
      <c r="B36" s="209"/>
      <c r="C36" s="209"/>
      <c r="G36" s="203"/>
      <c r="H36" s="203"/>
      <c r="I36" s="203"/>
      <c r="J36" s="203"/>
      <c r="K36" s="203"/>
      <c r="L36" s="203"/>
      <c r="M36" s="203"/>
      <c r="N36" s="229"/>
    </row>
    <row r="37" spans="1:14" hidden="1" x14ac:dyDescent="0.35">
      <c r="A37" s="209" t="s">
        <v>99</v>
      </c>
      <c r="B37" s="210">
        <v>1168.5043224000001</v>
      </c>
      <c r="C37" s="211">
        <v>0</v>
      </c>
      <c r="G37" s="203"/>
      <c r="H37" s="203"/>
      <c r="I37" s="203"/>
      <c r="J37" s="203"/>
      <c r="K37" s="203"/>
      <c r="L37" s="203"/>
      <c r="M37" s="203"/>
      <c r="N37" s="229"/>
    </row>
    <row r="38" spans="1:14" hidden="1" x14ac:dyDescent="0.35">
      <c r="A38" s="209" t="s">
        <v>21</v>
      </c>
      <c r="B38" s="210">
        <v>798.02403215999993</v>
      </c>
      <c r="C38" s="211">
        <v>0</v>
      </c>
      <c r="G38" s="203"/>
      <c r="H38" s="203"/>
      <c r="I38" s="203"/>
      <c r="J38" s="203"/>
      <c r="K38" s="203"/>
      <c r="L38" s="203"/>
      <c r="M38" s="203"/>
      <c r="N38" s="229"/>
    </row>
    <row r="39" spans="1:14" hidden="1" x14ac:dyDescent="0.35">
      <c r="A39" s="209" t="s">
        <v>22</v>
      </c>
      <c r="B39" s="210">
        <v>3151.7676566199998</v>
      </c>
      <c r="C39" s="211">
        <v>361.94341951999996</v>
      </c>
      <c r="G39" s="203"/>
      <c r="H39" s="203"/>
      <c r="I39" s="203"/>
      <c r="J39" s="203"/>
      <c r="K39" s="203"/>
      <c r="L39" s="203"/>
      <c r="M39" s="203"/>
      <c r="N39" s="229"/>
    </row>
    <row r="40" spans="1:14" hidden="1" x14ac:dyDescent="0.35">
      <c r="A40" s="209" t="s">
        <v>23</v>
      </c>
      <c r="B40" s="210">
        <v>32.908132993999999</v>
      </c>
      <c r="C40" s="211">
        <v>2208.6227182399998</v>
      </c>
      <c r="G40" s="203"/>
      <c r="H40" s="203"/>
      <c r="I40" s="203"/>
      <c r="J40" s="203"/>
      <c r="K40" s="203"/>
      <c r="L40" s="203"/>
      <c r="M40" s="203"/>
      <c r="N40" s="229"/>
    </row>
    <row r="41" spans="1:14" hidden="1" x14ac:dyDescent="0.35">
      <c r="A41" s="209" t="s">
        <v>24</v>
      </c>
      <c r="B41" s="210">
        <v>0.56134987999999997</v>
      </c>
      <c r="C41" s="211">
        <v>2665.4327099699995</v>
      </c>
      <c r="G41" s="203"/>
      <c r="H41" s="203"/>
      <c r="I41" s="203"/>
      <c r="J41" s="203"/>
      <c r="K41" s="203"/>
      <c r="L41" s="203"/>
      <c r="M41" s="203"/>
      <c r="N41" s="229"/>
    </row>
    <row r="42" spans="1:14" hidden="1" x14ac:dyDescent="0.35">
      <c r="A42" s="209" t="s">
        <v>25</v>
      </c>
      <c r="B42" s="210">
        <v>1.8227928100000002</v>
      </c>
      <c r="C42" s="211">
        <v>2742.7786041268901</v>
      </c>
      <c r="G42" s="203"/>
      <c r="H42" s="203"/>
      <c r="I42" s="203"/>
      <c r="J42" s="203"/>
      <c r="K42" s="203"/>
      <c r="L42" s="203"/>
      <c r="M42" s="203"/>
      <c r="N42" s="229"/>
    </row>
    <row r="43" spans="1:14" hidden="1" x14ac:dyDescent="0.35">
      <c r="A43" s="209" t="s">
        <v>1</v>
      </c>
      <c r="B43" s="210">
        <v>532.199162</v>
      </c>
      <c r="C43" s="211">
        <v>1955.3111186000003</v>
      </c>
      <c r="G43" s="203"/>
      <c r="H43" s="203"/>
      <c r="I43" s="203"/>
      <c r="J43" s="203"/>
      <c r="K43" s="203"/>
      <c r="L43" s="203"/>
      <c r="M43" s="203"/>
      <c r="N43" s="229"/>
    </row>
    <row r="44" spans="1:14" hidden="1" x14ac:dyDescent="0.35">
      <c r="A44" s="209" t="s">
        <v>2</v>
      </c>
      <c r="B44" s="210">
        <v>152.82109458604899</v>
      </c>
      <c r="C44" s="211">
        <v>895.32800183000006</v>
      </c>
      <c r="G44" s="203"/>
      <c r="H44" s="203"/>
      <c r="I44" s="203"/>
      <c r="J44" s="203"/>
      <c r="K44" s="203"/>
      <c r="L44" s="203"/>
      <c r="M44" s="203"/>
      <c r="N44" s="229"/>
    </row>
    <row r="45" spans="1:14" hidden="1" x14ac:dyDescent="0.35">
      <c r="A45" s="209"/>
      <c r="B45" s="212">
        <f>SUM(B37:B44)</f>
        <v>5838.6085434500492</v>
      </c>
      <c r="C45" s="212">
        <f t="shared" ref="C45" si="10">SUM(C37:C44)</f>
        <v>10829.416572286889</v>
      </c>
      <c r="G45" s="203"/>
      <c r="H45" s="203"/>
      <c r="I45" s="203"/>
      <c r="J45" s="203"/>
      <c r="K45" s="203"/>
      <c r="L45" s="203"/>
      <c r="M45" s="203"/>
      <c r="N45" s="229"/>
    </row>
    <row r="46" spans="1:14" hidden="1" x14ac:dyDescent="0.35">
      <c r="G46" s="203"/>
      <c r="H46" s="203"/>
      <c r="I46" s="203"/>
      <c r="J46" s="203"/>
      <c r="K46" s="203"/>
      <c r="L46" s="203"/>
      <c r="M46" s="203"/>
      <c r="N46" s="229"/>
    </row>
    <row r="47" spans="1:14" hidden="1" x14ac:dyDescent="0.35">
      <c r="G47" s="203"/>
      <c r="H47" s="203"/>
      <c r="I47" s="203"/>
      <c r="J47" s="203"/>
      <c r="K47" s="203"/>
      <c r="L47" s="203"/>
      <c r="M47" s="203"/>
      <c r="N47" s="229"/>
    </row>
    <row r="48" spans="1:14" hidden="1" x14ac:dyDescent="0.35">
      <c r="G48" s="203"/>
      <c r="H48" s="203"/>
      <c r="I48" s="203"/>
      <c r="J48" s="203"/>
      <c r="K48" s="203"/>
      <c r="L48" s="203"/>
      <c r="M48" s="203"/>
      <c r="N48" s="229"/>
    </row>
    <row r="49" spans="1:14" hidden="1" x14ac:dyDescent="0.35">
      <c r="C49" s="201" t="s">
        <v>85</v>
      </c>
      <c r="D49" s="201" t="s">
        <v>86</v>
      </c>
      <c r="E49" s="201" t="s">
        <v>22</v>
      </c>
      <c r="F49" s="201"/>
      <c r="G49" s="230"/>
      <c r="H49" s="230"/>
      <c r="I49" s="230"/>
      <c r="J49" s="230"/>
      <c r="K49" s="203"/>
      <c r="L49" s="203"/>
      <c r="M49" s="203"/>
      <c r="N49" s="229"/>
    </row>
    <row r="50" spans="1:14" hidden="1" x14ac:dyDescent="0.35">
      <c r="A50" s="213" t="s">
        <v>97</v>
      </c>
      <c r="C50" s="203">
        <v>1168.5043224000001</v>
      </c>
      <c r="D50" s="203">
        <v>798.02403215999993</v>
      </c>
      <c r="E50" s="203">
        <v>3151.7676566199998</v>
      </c>
      <c r="F50" s="203"/>
      <c r="G50" s="203"/>
      <c r="H50" s="203"/>
      <c r="I50" s="203"/>
      <c r="J50" s="203"/>
      <c r="K50" s="203"/>
      <c r="L50" s="203"/>
      <c r="M50" s="203"/>
      <c r="N50" s="229"/>
    </row>
    <row r="51" spans="1:14" hidden="1" x14ac:dyDescent="0.35">
      <c r="A51" s="202" t="s">
        <v>98</v>
      </c>
      <c r="C51" s="203">
        <v>0</v>
      </c>
      <c r="D51" s="203">
        <v>0</v>
      </c>
      <c r="E51" s="203">
        <v>361.94341951999996</v>
      </c>
      <c r="F51" s="203"/>
      <c r="G51" s="203"/>
      <c r="H51" s="203"/>
      <c r="I51" s="203"/>
      <c r="J51" s="203"/>
      <c r="K51" s="203"/>
      <c r="L51" s="203"/>
      <c r="M51" s="203"/>
      <c r="N51" s="229"/>
    </row>
    <row r="52" spans="1:14" hidden="1" x14ac:dyDescent="0.35">
      <c r="G52" s="203"/>
      <c r="H52" s="203"/>
      <c r="I52" s="203"/>
      <c r="J52" s="203"/>
      <c r="K52" s="203"/>
      <c r="L52" s="203"/>
      <c r="M52" s="203"/>
      <c r="N52" s="229"/>
    </row>
    <row r="53" spans="1:14" hidden="1" x14ac:dyDescent="0.35">
      <c r="G53" s="203"/>
      <c r="H53" s="203"/>
      <c r="I53" s="203"/>
      <c r="J53" s="203"/>
      <c r="K53" s="203"/>
      <c r="L53" s="203"/>
      <c r="M53" s="203"/>
      <c r="N53" s="229"/>
    </row>
    <row r="54" spans="1:14" x14ac:dyDescent="0.35">
      <c r="G54" s="203"/>
      <c r="H54" s="203"/>
      <c r="I54" s="203"/>
      <c r="J54" s="203"/>
      <c r="K54" s="203"/>
      <c r="L54" s="203"/>
      <c r="M54" s="203"/>
      <c r="N54" s="229"/>
    </row>
    <row r="55" spans="1:14" x14ac:dyDescent="0.35">
      <c r="G55" s="203"/>
      <c r="H55" s="203"/>
      <c r="I55" s="203"/>
      <c r="J55" s="203"/>
      <c r="K55" s="203"/>
      <c r="L55" s="203"/>
      <c r="M55" s="203"/>
      <c r="N55" s="229"/>
    </row>
    <row r="56" spans="1:14" x14ac:dyDescent="0.35">
      <c r="G56" s="203"/>
      <c r="H56" s="203"/>
      <c r="I56" s="203"/>
      <c r="J56" s="203"/>
      <c r="K56" s="203"/>
      <c r="L56" s="203"/>
      <c r="M56" s="203"/>
      <c r="N56" s="229"/>
    </row>
    <row r="57" spans="1:14" x14ac:dyDescent="0.35">
      <c r="G57" s="203"/>
      <c r="H57" s="203"/>
      <c r="I57" s="203"/>
      <c r="J57" s="203"/>
      <c r="K57" s="203"/>
      <c r="L57" s="203"/>
      <c r="M57" s="203"/>
      <c r="N57" s="229"/>
    </row>
    <row r="58" spans="1:14" x14ac:dyDescent="0.35">
      <c r="G58" s="203"/>
      <c r="H58" s="203"/>
      <c r="I58" s="203"/>
      <c r="J58" s="203"/>
      <c r="K58" s="203"/>
      <c r="L58" s="203"/>
      <c r="M58" s="203"/>
      <c r="N58" s="229"/>
    </row>
    <row r="59" spans="1:14" x14ac:dyDescent="0.35">
      <c r="G59" s="203"/>
      <c r="H59" s="203"/>
      <c r="I59" s="203"/>
      <c r="J59" s="203"/>
      <c r="K59" s="203"/>
      <c r="L59" s="203"/>
      <c r="M59" s="203"/>
      <c r="N59" s="229"/>
    </row>
    <row r="60" spans="1:14" x14ac:dyDescent="0.35">
      <c r="G60" s="203"/>
      <c r="H60" s="203"/>
      <c r="I60" s="203"/>
      <c r="J60" s="203"/>
      <c r="K60" s="203"/>
      <c r="L60" s="203"/>
      <c r="M60" s="203"/>
      <c r="N60" s="229"/>
    </row>
    <row r="61" spans="1:14" x14ac:dyDescent="0.35">
      <c r="G61" s="203"/>
      <c r="H61" s="203"/>
      <c r="I61" s="203"/>
      <c r="J61" s="203"/>
      <c r="K61" s="203"/>
      <c r="L61" s="203"/>
      <c r="M61" s="203"/>
      <c r="N61" s="229"/>
    </row>
  </sheetData>
  <mergeCells count="7">
    <mergeCell ref="A5:A6"/>
    <mergeCell ref="C7:F7"/>
    <mergeCell ref="B5:B6"/>
    <mergeCell ref="C5:C6"/>
    <mergeCell ref="D5:D6"/>
    <mergeCell ref="E5:E6"/>
    <mergeCell ref="F5:F6"/>
  </mergeCells>
  <phoneticPr fontId="15" type="noConversion"/>
  <pageMargins left="0.25" right="0.1" top="0.4" bottom="0.4" header="0.3" footer="0.3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7387F-A88F-4EE9-82E1-30D324054421}">
  <sheetPr>
    <tabColor rgb="FFFF0000"/>
    <pageSetUpPr fitToPage="1"/>
  </sheetPr>
  <dimension ref="A1:AR28"/>
  <sheetViews>
    <sheetView workbookViewId="0">
      <selection activeCell="G21" sqref="G21"/>
    </sheetView>
  </sheetViews>
  <sheetFormatPr defaultRowHeight="14.5" x14ac:dyDescent="0.35"/>
  <cols>
    <col min="1" max="1" width="41.453125" customWidth="1"/>
    <col min="2" max="2" width="10.26953125" customWidth="1"/>
    <col min="3" max="3" width="10.7265625" customWidth="1"/>
    <col min="4" max="5" width="10.54296875" bestFit="1" customWidth="1"/>
    <col min="9" max="9" width="8.54296875" customWidth="1"/>
    <col min="10" max="10" width="10.26953125" customWidth="1"/>
    <col min="12" max="12" width="10.54296875" customWidth="1"/>
    <col min="13" max="13" width="12.453125" bestFit="1" customWidth="1"/>
    <col min="14" max="14" width="11.1796875" customWidth="1"/>
    <col min="15" max="15" width="13.81640625" bestFit="1" customWidth="1"/>
    <col min="16" max="18" width="9.26953125" bestFit="1" customWidth="1"/>
    <col min="19" max="19" width="9.453125" bestFit="1" customWidth="1"/>
    <col min="20" max="20" width="9.54296875" bestFit="1" customWidth="1"/>
    <col min="26" max="26" width="15.1796875" customWidth="1"/>
    <col min="27" max="27" width="18.26953125" bestFit="1" customWidth="1"/>
    <col min="28" max="28" width="16.453125" bestFit="1" customWidth="1"/>
    <col min="29" max="31" width="9.453125" bestFit="1" customWidth="1"/>
  </cols>
  <sheetData>
    <row r="1" spans="1:44" s="2" customFormat="1" ht="23.25" customHeight="1" x14ac:dyDescent="0.35">
      <c r="A1" s="1" t="s">
        <v>0</v>
      </c>
      <c r="AK1" s="2" t="s">
        <v>1</v>
      </c>
      <c r="AL1" s="2" t="s">
        <v>2</v>
      </c>
      <c r="AM1" s="2" t="s">
        <v>2</v>
      </c>
      <c r="AN1" s="2" t="s">
        <v>3</v>
      </c>
      <c r="AO1" s="2" t="s">
        <v>4</v>
      </c>
      <c r="AP1" s="2" t="s">
        <v>5</v>
      </c>
      <c r="AQ1" s="2" t="s">
        <v>6</v>
      </c>
    </row>
    <row r="2" spans="1:44" s="2" customFormat="1" ht="23.25" customHeight="1" x14ac:dyDescent="0.35">
      <c r="A2" s="3" t="s">
        <v>7</v>
      </c>
      <c r="L2" s="4"/>
      <c r="M2" s="4"/>
      <c r="N2" s="4"/>
      <c r="O2" s="4"/>
      <c r="P2" s="4"/>
      <c r="Q2" s="4"/>
      <c r="R2" s="4"/>
      <c r="S2" s="4"/>
      <c r="AM2" s="2">
        <v>745</v>
      </c>
      <c r="AN2" s="2">
        <v>819.59836726092897</v>
      </c>
      <c r="AO2" s="2">
        <v>781.29795137295082</v>
      </c>
      <c r="AP2" s="2">
        <v>741.42640832650272</v>
      </c>
      <c r="AQ2" s="2">
        <v>953.50546364071045</v>
      </c>
      <c r="AR2" s="2">
        <v>5784.4046179849729</v>
      </c>
    </row>
    <row r="3" spans="1:44" s="2" customFormat="1" ht="23.25" customHeight="1" x14ac:dyDescent="0.35">
      <c r="A3" s="5" t="s">
        <v>8</v>
      </c>
      <c r="L3" s="4"/>
      <c r="M3" s="4"/>
      <c r="N3" s="4"/>
      <c r="O3" s="4"/>
      <c r="P3" s="4"/>
      <c r="Q3" s="4"/>
      <c r="R3" s="4"/>
      <c r="S3" s="4"/>
      <c r="AM3" s="2">
        <v>213</v>
      </c>
      <c r="AN3" s="2">
        <v>208.5625</v>
      </c>
      <c r="AO3" s="2">
        <v>204.125</v>
      </c>
      <c r="AP3" s="2">
        <v>199.6875</v>
      </c>
      <c r="AQ3" s="2">
        <v>195.25</v>
      </c>
      <c r="AR3" s="2">
        <v>1459.9375</v>
      </c>
    </row>
    <row r="4" spans="1:44" s="2" customFormat="1" ht="14.25" customHeight="1" thickBot="1" x14ac:dyDescent="0.4">
      <c r="A4" s="4"/>
    </row>
    <row r="5" spans="1:44" s="2" customFormat="1" ht="23.25" customHeight="1" x14ac:dyDescent="0.35">
      <c r="A5" s="428" t="s">
        <v>9</v>
      </c>
      <c r="B5" s="430">
        <v>45292</v>
      </c>
      <c r="C5" s="431"/>
      <c r="D5" s="432">
        <v>45323</v>
      </c>
      <c r="E5" s="433"/>
      <c r="F5" s="432">
        <v>45352</v>
      </c>
      <c r="G5" s="433"/>
      <c r="H5" s="432">
        <v>45383</v>
      </c>
      <c r="I5" s="433"/>
      <c r="J5" s="426">
        <v>45413</v>
      </c>
      <c r="K5" s="427"/>
      <c r="L5" s="432">
        <v>45444</v>
      </c>
      <c r="M5" s="433"/>
      <c r="N5" s="432">
        <v>45474</v>
      </c>
      <c r="O5" s="433"/>
      <c r="P5" s="432">
        <v>45505</v>
      </c>
      <c r="Q5" s="433"/>
      <c r="R5" s="432">
        <v>45536</v>
      </c>
      <c r="S5" s="433"/>
      <c r="T5" s="432">
        <v>45566</v>
      </c>
      <c r="U5" s="433"/>
      <c r="V5" s="432">
        <v>45597</v>
      </c>
      <c r="W5" s="433"/>
      <c r="X5" s="432">
        <v>45627</v>
      </c>
      <c r="Y5" s="433"/>
      <c r="Z5" s="434" t="s">
        <v>100</v>
      </c>
      <c r="AA5" s="435"/>
    </row>
    <row r="6" spans="1:44" s="2" customFormat="1" ht="32.25" customHeight="1" thickBot="1" x14ac:dyDescent="0.4">
      <c r="A6" s="429"/>
      <c r="B6" s="64" t="s">
        <v>10</v>
      </c>
      <c r="C6" s="6" t="s">
        <v>11</v>
      </c>
      <c r="D6" s="64" t="s">
        <v>10</v>
      </c>
      <c r="E6" s="6" t="s">
        <v>11</v>
      </c>
      <c r="F6" s="64" t="s">
        <v>10</v>
      </c>
      <c r="G6" s="6" t="s">
        <v>11</v>
      </c>
      <c r="H6" s="64" t="s">
        <v>10</v>
      </c>
      <c r="I6" s="6" t="s">
        <v>11</v>
      </c>
      <c r="J6" s="64" t="s">
        <v>10</v>
      </c>
      <c r="K6" s="6" t="s">
        <v>11</v>
      </c>
      <c r="L6" s="64" t="s">
        <v>10</v>
      </c>
      <c r="M6" s="6" t="s">
        <v>11</v>
      </c>
      <c r="N6" s="64" t="s">
        <v>10</v>
      </c>
      <c r="O6" s="6" t="s">
        <v>11</v>
      </c>
      <c r="P6" s="64" t="s">
        <v>10</v>
      </c>
      <c r="Q6" s="6" t="s">
        <v>12</v>
      </c>
      <c r="R6" s="64" t="s">
        <v>10</v>
      </c>
      <c r="S6" s="6" t="s">
        <v>12</v>
      </c>
      <c r="T6" s="64" t="s">
        <v>10</v>
      </c>
      <c r="U6" s="6" t="s">
        <v>12</v>
      </c>
      <c r="V6" s="64" t="s">
        <v>10</v>
      </c>
      <c r="W6" s="6" t="s">
        <v>12</v>
      </c>
      <c r="X6" s="64" t="s">
        <v>10</v>
      </c>
      <c r="Y6" s="6" t="s">
        <v>12</v>
      </c>
      <c r="Z6" s="65" t="s">
        <v>101</v>
      </c>
      <c r="AA6" s="100" t="s">
        <v>13</v>
      </c>
    </row>
    <row r="7" spans="1:44" s="2" customFormat="1" ht="23.25" customHeight="1" x14ac:dyDescent="0.35">
      <c r="A7" s="66" t="s">
        <v>102</v>
      </c>
      <c r="B7" s="67">
        <v>1395.9317489155251</v>
      </c>
      <c r="C7" s="7">
        <v>471.80581748999998</v>
      </c>
      <c r="D7" s="67">
        <v>1345.1070075000002</v>
      </c>
      <c r="E7" s="8">
        <v>952.46435729999996</v>
      </c>
      <c r="F7" s="67">
        <v>1298.1690941666666</v>
      </c>
      <c r="G7" s="8">
        <v>1034.9250000000002</v>
      </c>
      <c r="H7" s="67">
        <v>1123.5624308333333</v>
      </c>
      <c r="I7" s="8">
        <v>984.50099999999998</v>
      </c>
      <c r="J7" s="67">
        <v>1203.9557675000001</v>
      </c>
      <c r="K7" s="9">
        <v>935.72099999999989</v>
      </c>
      <c r="L7" s="67">
        <v>1653.6454911529681</v>
      </c>
      <c r="M7" s="7">
        <v>1083.92538691257</v>
      </c>
      <c r="N7" s="67">
        <v>1106.0749408333334</v>
      </c>
      <c r="O7" s="7">
        <v>659.6510404713116</v>
      </c>
      <c r="P7" s="67">
        <v>1057.5732775000001</v>
      </c>
      <c r="Q7" s="7">
        <v>745</v>
      </c>
      <c r="R7" s="67">
        <v>1005.9103641666666</v>
      </c>
      <c r="S7" s="7">
        <v>819.59836726092897</v>
      </c>
      <c r="T7" s="67">
        <v>958.26278583333328</v>
      </c>
      <c r="U7" s="7">
        <v>781.29795137295082</v>
      </c>
      <c r="V7" s="67">
        <v>910.47602083333345</v>
      </c>
      <c r="W7" s="7">
        <v>741.42640832650272</v>
      </c>
      <c r="X7" s="67">
        <v>1166.3142558333334</v>
      </c>
      <c r="Y7" s="7">
        <v>953.50546364071045</v>
      </c>
      <c r="Z7" s="68">
        <f>B7+D7+F7+H7+J7+L7+N7+P7+R7+T7+V7+X7</f>
        <v>14224.983185068491</v>
      </c>
      <c r="AA7" s="101">
        <f>C7+E7+G7+I7+K7+M7+O7+Q7+S7+U7+W7+Y7</f>
        <v>10163.821792774976</v>
      </c>
      <c r="AB7" s="4">
        <v>10163.821792774976</v>
      </c>
    </row>
    <row r="8" spans="1:44" s="2" customFormat="1" ht="23.25" customHeight="1" x14ac:dyDescent="0.35">
      <c r="A8" s="69" t="s">
        <v>14</v>
      </c>
      <c r="B8" s="67">
        <v>658.33299999999997</v>
      </c>
      <c r="C8" s="7">
        <v>612.93839715000001</v>
      </c>
      <c r="D8" s="67">
        <v>650</v>
      </c>
      <c r="E8" s="8">
        <v>718.32068803000004</v>
      </c>
      <c r="F8" s="67">
        <v>641.66700000000003</v>
      </c>
      <c r="G8" s="8">
        <v>491.76683343000008</v>
      </c>
      <c r="H8" s="67">
        <v>633.33299999999997</v>
      </c>
      <c r="I8" s="8">
        <v>260</v>
      </c>
      <c r="J8" s="67">
        <v>625</v>
      </c>
      <c r="K8" s="9">
        <v>248</v>
      </c>
      <c r="L8" s="67">
        <v>616.66700000000003</v>
      </c>
      <c r="M8" s="7">
        <v>221.875</v>
      </c>
      <c r="N8" s="67">
        <v>558.33000000000004</v>
      </c>
      <c r="O8" s="7">
        <v>217.4375</v>
      </c>
      <c r="P8" s="67">
        <v>530</v>
      </c>
      <c r="Q8" s="7">
        <v>213</v>
      </c>
      <c r="R8" s="67">
        <v>541.66999999999996</v>
      </c>
      <c r="S8" s="7">
        <v>208.5625</v>
      </c>
      <c r="T8" s="67">
        <v>513.33000000000004</v>
      </c>
      <c r="U8" s="7">
        <v>204.125</v>
      </c>
      <c r="V8" s="67">
        <v>515</v>
      </c>
      <c r="W8" s="7">
        <v>199.6875</v>
      </c>
      <c r="X8" s="67">
        <v>516.66999999999996</v>
      </c>
      <c r="Y8" s="7">
        <v>195.25</v>
      </c>
      <c r="Z8" s="68">
        <f t="shared" ref="Z8:Z11" si="0">B8+D8+F8+H8+J8+L8+N8+P8+R8+T8+V8+X8</f>
        <v>7000</v>
      </c>
      <c r="AA8" s="96">
        <f t="shared" ref="AA8:AA12" si="1">C8+E8+G8+I8+K8+M8+O8+Q8+S8+U8+W8+Y8</f>
        <v>3790.9634186100002</v>
      </c>
      <c r="AB8" s="4">
        <v>3790.9634186100002</v>
      </c>
    </row>
    <row r="9" spans="1:44" s="2" customFormat="1" ht="23.25" customHeight="1" x14ac:dyDescent="0.35">
      <c r="A9" s="66" t="s">
        <v>15</v>
      </c>
      <c r="B9" s="67">
        <f>6000/12</f>
        <v>500</v>
      </c>
      <c r="C9" s="7">
        <v>248.52488561999999</v>
      </c>
      <c r="D9" s="67">
        <v>500</v>
      </c>
      <c r="E9" s="8">
        <v>171.17002361000002</v>
      </c>
      <c r="F9" s="67">
        <v>500</v>
      </c>
      <c r="G9" s="8">
        <v>132.36939688999999</v>
      </c>
      <c r="H9" s="67">
        <v>500</v>
      </c>
      <c r="I9" s="8">
        <v>30.273403010000038</v>
      </c>
      <c r="J9" s="67">
        <v>500</v>
      </c>
      <c r="K9" s="7">
        <v>117.63181915999995</v>
      </c>
      <c r="L9" s="67">
        <v>500</v>
      </c>
      <c r="M9" s="7">
        <v>70.582744000000062</v>
      </c>
      <c r="N9" s="67">
        <v>500</v>
      </c>
      <c r="O9" s="7">
        <v>23.985842999999992</v>
      </c>
      <c r="P9" s="67">
        <v>500</v>
      </c>
      <c r="Q9" s="7">
        <v>152.82109458604899</v>
      </c>
      <c r="R9" s="67">
        <v>500</v>
      </c>
      <c r="S9" s="7">
        <v>259</v>
      </c>
      <c r="T9" s="67">
        <v>500</v>
      </c>
      <c r="U9" s="7">
        <v>259</v>
      </c>
      <c r="V9" s="67">
        <v>500</v>
      </c>
      <c r="W9" s="7">
        <v>259</v>
      </c>
      <c r="X9" s="67">
        <v>500</v>
      </c>
      <c r="Y9" s="7">
        <v>259</v>
      </c>
      <c r="Z9" s="68">
        <f t="shared" si="0"/>
        <v>6000</v>
      </c>
      <c r="AA9" s="96">
        <f>C9+E9+G9+I9+K9+M9+O9+Q9+S9+U9+W9+Y9</f>
        <v>1983.3592098760491</v>
      </c>
      <c r="AB9" s="4">
        <v>1983.3592098760491</v>
      </c>
      <c r="AC9" s="10"/>
    </row>
    <row r="10" spans="1:44" s="2" customFormat="1" ht="23.25" customHeight="1" x14ac:dyDescent="0.35">
      <c r="A10" s="66" t="s">
        <v>16</v>
      </c>
      <c r="B10" s="67">
        <f>8000/12</f>
        <v>666.66666666666663</v>
      </c>
      <c r="C10" s="7">
        <v>135.91540543000002</v>
      </c>
      <c r="D10" s="67">
        <v>666.66666666666663</v>
      </c>
      <c r="E10" s="8">
        <v>118.89251250999999</v>
      </c>
      <c r="F10" s="67">
        <v>666.66666666666663</v>
      </c>
      <c r="G10" s="8">
        <v>128.61080637000001</v>
      </c>
      <c r="H10" s="67">
        <v>666.66666666666663</v>
      </c>
      <c r="I10" s="8">
        <v>0</v>
      </c>
      <c r="J10" s="67">
        <v>666.66666666666663</v>
      </c>
      <c r="K10" s="7">
        <v>58.528232119999998</v>
      </c>
      <c r="L10" s="67">
        <v>666.66666666666663</v>
      </c>
      <c r="M10" s="7">
        <v>2214.4937731099994</v>
      </c>
      <c r="N10" s="67">
        <v>666.66666666666663</v>
      </c>
      <c r="O10" s="7">
        <v>2316.9717411200004</v>
      </c>
      <c r="P10" s="67">
        <v>666.66666666666663</v>
      </c>
      <c r="Q10" s="7">
        <v>895.32800183000006</v>
      </c>
      <c r="R10" s="67">
        <v>666.66666666666663</v>
      </c>
      <c r="S10" s="7">
        <v>1300</v>
      </c>
      <c r="T10" s="67">
        <v>666.66666666666663</v>
      </c>
      <c r="U10" s="7">
        <v>1600</v>
      </c>
      <c r="V10" s="67">
        <v>666.66666666666663</v>
      </c>
      <c r="W10" s="7">
        <v>200</v>
      </c>
      <c r="X10" s="67">
        <v>666.66666666666663</v>
      </c>
      <c r="Y10" s="7">
        <v>200</v>
      </c>
      <c r="Z10" s="68">
        <f>B10+D10+F10+H10+J10+L10+N10+P10+R10+T10+V10+X10</f>
        <v>8000.0000000000009</v>
      </c>
      <c r="AA10" s="96">
        <f>C10+E10+G10+I10+K10+M10+O10+Q10+S10+U10+W10+Y10</f>
        <v>9168.7404724900007</v>
      </c>
      <c r="AB10" s="4">
        <v>9168.7404724900007</v>
      </c>
      <c r="AC10" s="11"/>
    </row>
    <row r="11" spans="1:44" s="2" customFormat="1" ht="23.25" customHeight="1" x14ac:dyDescent="0.35">
      <c r="A11" s="66" t="s">
        <v>17</v>
      </c>
      <c r="B11" s="67">
        <f>1870/12</f>
        <v>155.83333333333334</v>
      </c>
      <c r="C11" s="7">
        <v>109.13939239</v>
      </c>
      <c r="D11" s="67">
        <v>155.83333333333334</v>
      </c>
      <c r="E11" s="8">
        <v>202.92220512</v>
      </c>
      <c r="F11" s="67">
        <v>155.83333333333334</v>
      </c>
      <c r="G11" s="8">
        <v>155.83333332999999</v>
      </c>
      <c r="H11" s="67">
        <v>155.83333333333334</v>
      </c>
      <c r="I11" s="8">
        <v>109.29840016999998</v>
      </c>
      <c r="J11" s="67">
        <v>155.83333333333334</v>
      </c>
      <c r="K11" s="12">
        <v>158.27530813000001</v>
      </c>
      <c r="L11" s="67">
        <v>155.83333333333334</v>
      </c>
      <c r="M11" s="7">
        <v>156.01487179</v>
      </c>
      <c r="N11" s="67">
        <v>155.83333333333334</v>
      </c>
      <c r="O11" s="7">
        <v>155.95286919</v>
      </c>
      <c r="P11" s="67">
        <v>155.83333333333334</v>
      </c>
      <c r="Q11" s="7">
        <v>165</v>
      </c>
      <c r="R11" s="67">
        <v>155.83333333333334</v>
      </c>
      <c r="S11" s="7">
        <v>165</v>
      </c>
      <c r="T11" s="67">
        <v>155.83333333333334</v>
      </c>
      <c r="U11" s="7">
        <v>165</v>
      </c>
      <c r="V11" s="67">
        <v>155.83333333333334</v>
      </c>
      <c r="W11" s="7">
        <v>164</v>
      </c>
      <c r="X11" s="67">
        <v>155.83333333333334</v>
      </c>
      <c r="Y11" s="7">
        <v>164</v>
      </c>
      <c r="Z11" s="68">
        <f t="shared" si="0"/>
        <v>1869.9999999999998</v>
      </c>
      <c r="AA11" s="96">
        <f t="shared" si="1"/>
        <v>1870.4363801200002</v>
      </c>
      <c r="AB11" s="4">
        <v>1870.4363801200002</v>
      </c>
      <c r="AC11" s="11"/>
      <c r="AD11" s="4"/>
      <c r="AE11" s="11"/>
    </row>
    <row r="12" spans="1:44" s="2" customFormat="1" ht="23.25" customHeight="1" x14ac:dyDescent="0.35">
      <c r="A12" s="66" t="s">
        <v>18</v>
      </c>
      <c r="B12" s="67">
        <v>16.44904865744725</v>
      </c>
      <c r="C12" s="70">
        <v>0.31351200000000001</v>
      </c>
      <c r="D12" s="67">
        <v>16.44904865744725</v>
      </c>
      <c r="E12" s="13">
        <v>0.28675699999999998</v>
      </c>
      <c r="F12" s="67">
        <v>16.44904865744725</v>
      </c>
      <c r="G12" s="8">
        <v>0.28350820999999987</v>
      </c>
      <c r="H12" s="67">
        <v>16.44904865744725</v>
      </c>
      <c r="I12" s="8">
        <v>0.26224856999999985</v>
      </c>
      <c r="J12" s="67">
        <v>16.44904865744725</v>
      </c>
      <c r="K12" s="7">
        <v>0.23486780000000021</v>
      </c>
      <c r="L12" s="67">
        <v>16.44904865744725</v>
      </c>
      <c r="M12" s="7">
        <v>0.19035079999999993</v>
      </c>
      <c r="N12" s="67">
        <v>16.44904865744725</v>
      </c>
      <c r="O12" s="7">
        <v>0.16233552000000009</v>
      </c>
      <c r="P12" s="67">
        <v>16.44904865744725</v>
      </c>
      <c r="Q12" s="7">
        <v>3</v>
      </c>
      <c r="R12" s="67">
        <v>16.44904865744725</v>
      </c>
      <c r="S12" s="7">
        <v>3</v>
      </c>
      <c r="T12" s="67">
        <v>16.44904865744725</v>
      </c>
      <c r="U12" s="7">
        <v>3</v>
      </c>
      <c r="V12" s="67">
        <v>16.44904865744725</v>
      </c>
      <c r="W12" s="7">
        <v>4</v>
      </c>
      <c r="X12" s="67">
        <v>16.44904865744725</v>
      </c>
      <c r="Y12" s="7">
        <v>4</v>
      </c>
      <c r="Z12" s="68">
        <f>B12+D12+F12+H12+J12+L12+N12+P12+R12+T12+V12+X12</f>
        <v>197.38858388936694</v>
      </c>
      <c r="AA12" s="96">
        <f t="shared" si="1"/>
        <v>18.733579900000002</v>
      </c>
      <c r="AB12" s="4">
        <v>18.816772139999998</v>
      </c>
      <c r="AD12" s="4"/>
    </row>
    <row r="13" spans="1:44" s="2" customFormat="1" ht="23.25" customHeight="1" thickBot="1" x14ac:dyDescent="0.4">
      <c r="A13" s="106" t="s">
        <v>77</v>
      </c>
      <c r="B13" s="71">
        <f>SUM(B7:B12)</f>
        <v>3393.2137975729725</v>
      </c>
      <c r="C13" s="71">
        <f t="shared" ref="C13:Z13" si="2">SUM(C7:C12)</f>
        <v>1578.6374100799999</v>
      </c>
      <c r="D13" s="71">
        <f t="shared" si="2"/>
        <v>3334.0560561574475</v>
      </c>
      <c r="E13" s="71">
        <f t="shared" si="2"/>
        <v>2164.05654357</v>
      </c>
      <c r="F13" s="71">
        <f t="shared" si="2"/>
        <v>3278.7851428241138</v>
      </c>
      <c r="G13" s="71">
        <f t="shared" si="2"/>
        <v>1943.7888782300004</v>
      </c>
      <c r="H13" s="71">
        <f t="shared" si="2"/>
        <v>3095.8444794907805</v>
      </c>
      <c r="I13" s="71">
        <f t="shared" si="2"/>
        <v>1384.33505175</v>
      </c>
      <c r="J13" s="71">
        <f t="shared" si="2"/>
        <v>3167.9048161574474</v>
      </c>
      <c r="K13" s="71">
        <f t="shared" si="2"/>
        <v>1518.3912272099999</v>
      </c>
      <c r="L13" s="71">
        <f t="shared" si="2"/>
        <v>3609.2615398104153</v>
      </c>
      <c r="M13" s="71">
        <f t="shared" si="2"/>
        <v>3747.0821266125699</v>
      </c>
      <c r="N13" s="71">
        <f t="shared" si="2"/>
        <v>3003.3539894907808</v>
      </c>
      <c r="O13" s="71">
        <f t="shared" si="2"/>
        <v>3374.161329301312</v>
      </c>
      <c r="P13" s="71">
        <f t="shared" si="2"/>
        <v>2926.5223261574474</v>
      </c>
      <c r="Q13" s="71">
        <f t="shared" si="2"/>
        <v>2174.1490964160489</v>
      </c>
      <c r="R13" s="71">
        <f t="shared" si="2"/>
        <v>2886.5294128241139</v>
      </c>
      <c r="S13" s="71">
        <f t="shared" si="2"/>
        <v>2755.1608672609291</v>
      </c>
      <c r="T13" s="71">
        <f t="shared" si="2"/>
        <v>2810.5418344907807</v>
      </c>
      <c r="U13" s="71">
        <f t="shared" si="2"/>
        <v>3012.4229513729506</v>
      </c>
      <c r="V13" s="71">
        <f t="shared" si="2"/>
        <v>2764.425069490781</v>
      </c>
      <c r="W13" s="71">
        <f t="shared" si="2"/>
        <v>1568.1139083265027</v>
      </c>
      <c r="X13" s="71">
        <f t="shared" si="2"/>
        <v>3021.9333044907808</v>
      </c>
      <c r="Y13" s="71">
        <f t="shared" si="2"/>
        <v>1775.7554636407103</v>
      </c>
      <c r="Z13" s="99">
        <f t="shared" si="2"/>
        <v>37292.371768957863</v>
      </c>
      <c r="AA13" s="97">
        <f>SUM(AA7:AA12)</f>
        <v>26996.054853771027</v>
      </c>
      <c r="AD13" s="4"/>
    </row>
    <row r="14" spans="1:44" s="2" customFormat="1" ht="23.25" customHeight="1" x14ac:dyDescent="0.35">
      <c r="A14" s="33" t="s">
        <v>78</v>
      </c>
      <c r="B14" s="103">
        <v>0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  <c r="O14" s="34">
        <v>0</v>
      </c>
      <c r="P14" s="103">
        <v>0</v>
      </c>
      <c r="Q14" s="34">
        <v>417</v>
      </c>
      <c r="R14" s="103">
        <v>0</v>
      </c>
      <c r="S14" s="34">
        <v>833</v>
      </c>
      <c r="T14" s="103">
        <v>0</v>
      </c>
      <c r="U14" s="34">
        <v>833</v>
      </c>
      <c r="V14" s="103">
        <v>0</v>
      </c>
      <c r="W14" s="34">
        <v>833</v>
      </c>
      <c r="X14" s="103">
        <v>0</v>
      </c>
      <c r="Y14" s="34">
        <v>833</v>
      </c>
      <c r="Z14" s="104">
        <f>SUM(N14:Y14)</f>
        <v>3749</v>
      </c>
      <c r="AA14" s="105">
        <v>0</v>
      </c>
      <c r="AD14" s="4"/>
    </row>
    <row r="15" spans="1:44" s="2" customFormat="1" ht="23.25" customHeight="1" x14ac:dyDescent="0.35">
      <c r="A15" s="27" t="s">
        <v>70</v>
      </c>
      <c r="B15" s="95">
        <v>0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255.62833333333333</v>
      </c>
      <c r="O15" s="29">
        <f>1224075540.2/1000000</f>
        <v>1224.0755402</v>
      </c>
      <c r="P15" s="95">
        <v>255.62833333333333</v>
      </c>
      <c r="Q15" s="29">
        <v>0</v>
      </c>
      <c r="R15" s="95">
        <v>255.62833333333333</v>
      </c>
      <c r="S15" s="29">
        <v>0</v>
      </c>
      <c r="T15" s="95">
        <v>255.62833333333333</v>
      </c>
      <c r="U15" s="29">
        <v>0</v>
      </c>
      <c r="V15" s="95">
        <v>255.62833333333333</v>
      </c>
      <c r="W15" s="29">
        <v>0</v>
      </c>
      <c r="X15" s="95">
        <v>255.62833333333333</v>
      </c>
      <c r="Y15" s="29">
        <v>0</v>
      </c>
      <c r="Z15" s="98">
        <f>N15+P15+R15+T15+V15+X15</f>
        <v>1533.77</v>
      </c>
      <c r="AA15" s="102">
        <f>O15+Q15+S15+U15+W15+Y15</f>
        <v>1224.0755402</v>
      </c>
      <c r="AD15" s="4"/>
    </row>
    <row r="16" spans="1:44" s="2" customFormat="1" ht="23.25" customHeight="1" thickBot="1" x14ac:dyDescent="0.4">
      <c r="A16" s="26" t="s">
        <v>19</v>
      </c>
      <c r="B16" s="71">
        <f>B13+B14+B15</f>
        <v>3393.2137975729725</v>
      </c>
      <c r="C16" s="71">
        <f t="shared" ref="C16:AA16" si="3">C13+C14+C15</f>
        <v>1578.6374100799999</v>
      </c>
      <c r="D16" s="71">
        <f t="shared" si="3"/>
        <v>3334.0560561574475</v>
      </c>
      <c r="E16" s="71">
        <f t="shared" si="3"/>
        <v>2164.05654357</v>
      </c>
      <c r="F16" s="71">
        <f t="shared" si="3"/>
        <v>3278.7851428241138</v>
      </c>
      <c r="G16" s="71">
        <f t="shared" si="3"/>
        <v>1943.7888782300004</v>
      </c>
      <c r="H16" s="71">
        <f t="shared" si="3"/>
        <v>3095.8444794907805</v>
      </c>
      <c r="I16" s="71">
        <f t="shared" si="3"/>
        <v>1384.33505175</v>
      </c>
      <c r="J16" s="71">
        <f t="shared" si="3"/>
        <v>3167.9048161574474</v>
      </c>
      <c r="K16" s="71">
        <f t="shared" si="3"/>
        <v>1518.3912272099999</v>
      </c>
      <c r="L16" s="71">
        <f t="shared" si="3"/>
        <v>3609.2615398104153</v>
      </c>
      <c r="M16" s="71">
        <f t="shared" si="3"/>
        <v>3747.0821266125699</v>
      </c>
      <c r="N16" s="71">
        <f t="shared" si="3"/>
        <v>3258.9823228241139</v>
      </c>
      <c r="O16" s="71">
        <f t="shared" si="3"/>
        <v>4598.236869501312</v>
      </c>
      <c r="P16" s="71">
        <f t="shared" si="3"/>
        <v>3182.1506594907805</v>
      </c>
      <c r="Q16" s="71">
        <f t="shared" si="3"/>
        <v>2591.1490964160489</v>
      </c>
      <c r="R16" s="71">
        <f t="shared" si="3"/>
        <v>3142.157746157447</v>
      </c>
      <c r="S16" s="71">
        <f t="shared" si="3"/>
        <v>3588.1608672609291</v>
      </c>
      <c r="T16" s="71">
        <f t="shared" si="3"/>
        <v>3066.1701678241143</v>
      </c>
      <c r="U16" s="71">
        <f t="shared" si="3"/>
        <v>3845.4229513729506</v>
      </c>
      <c r="V16" s="71">
        <f t="shared" si="3"/>
        <v>3020.0534028241145</v>
      </c>
      <c r="W16" s="71">
        <f t="shared" si="3"/>
        <v>2401.1139083265025</v>
      </c>
      <c r="X16" s="71">
        <f t="shared" si="3"/>
        <v>3277.5616378241139</v>
      </c>
      <c r="Y16" s="71">
        <f t="shared" si="3"/>
        <v>2608.7554636407103</v>
      </c>
      <c r="Z16" s="99">
        <f t="shared" si="3"/>
        <v>42575.141768957859</v>
      </c>
      <c r="AA16" s="97">
        <f t="shared" si="3"/>
        <v>28220.130393971027</v>
      </c>
    </row>
    <row r="17" spans="1:27" x14ac:dyDescent="0.35">
      <c r="B17" s="72"/>
      <c r="C17" s="72"/>
      <c r="D17" s="72"/>
      <c r="E17" s="72"/>
      <c r="AA17" s="73"/>
    </row>
    <row r="18" spans="1:27" x14ac:dyDescent="0.35">
      <c r="N18" s="59">
        <v>0</v>
      </c>
      <c r="O18" s="59">
        <v>417</v>
      </c>
      <c r="P18" s="59">
        <v>833</v>
      </c>
      <c r="Q18" s="59">
        <v>833</v>
      </c>
      <c r="R18" s="59">
        <v>833</v>
      </c>
      <c r="S18" s="59">
        <v>833</v>
      </c>
      <c r="T18" s="60">
        <f>SUM(N18:S18)</f>
        <v>3749</v>
      </c>
      <c r="Z18" s="59">
        <v>37292.371768957863</v>
      </c>
      <c r="AA18" s="73" t="e">
        <f>AA16-#REF!-AA11+N27</f>
        <v>#REF!</v>
      </c>
    </row>
    <row r="19" spans="1:27" x14ac:dyDescent="0.35">
      <c r="A19" s="14" t="s">
        <v>0</v>
      </c>
      <c r="N19" s="59">
        <v>255.62833333333333</v>
      </c>
      <c r="O19" s="59">
        <v>255.62833333333333</v>
      </c>
      <c r="P19" s="59">
        <v>255.62833333333333</v>
      </c>
      <c r="Q19" s="59">
        <v>255.62833333333333</v>
      </c>
      <c r="R19" s="59">
        <v>255.62833333333333</v>
      </c>
      <c r="S19" s="59">
        <v>255.62833333333333</v>
      </c>
      <c r="T19" s="60">
        <f>SUM(N19:S19)</f>
        <v>1533.77</v>
      </c>
      <c r="Y19">
        <f>6000/12</f>
        <v>500</v>
      </c>
      <c r="AA19">
        <v>27332</v>
      </c>
    </row>
    <row r="20" spans="1:27" x14ac:dyDescent="0.35">
      <c r="A20" s="14" t="s">
        <v>103</v>
      </c>
      <c r="Y20">
        <f>8000/12</f>
        <v>666.66666666666663</v>
      </c>
      <c r="AA20" s="73" t="e">
        <f>AA19-AA18</f>
        <v>#REF!</v>
      </c>
    </row>
    <row r="21" spans="1:27" x14ac:dyDescent="0.35">
      <c r="A21" s="14" t="s">
        <v>104</v>
      </c>
    </row>
    <row r="22" spans="1:27" ht="15" thickBot="1" x14ac:dyDescent="0.4">
      <c r="N22" s="63" t="s">
        <v>105</v>
      </c>
    </row>
    <row r="23" spans="1:27" ht="21.75" customHeight="1" thickBot="1" x14ac:dyDescent="0.4">
      <c r="A23" s="74"/>
      <c r="B23" s="75" t="s">
        <v>20</v>
      </c>
      <c r="C23" s="76" t="s">
        <v>21</v>
      </c>
      <c r="D23" s="77" t="s">
        <v>22</v>
      </c>
      <c r="E23" s="78" t="s">
        <v>23</v>
      </c>
      <c r="F23" s="77" t="s">
        <v>24</v>
      </c>
      <c r="G23" s="78" t="s">
        <v>25</v>
      </c>
      <c r="H23" s="77" t="s">
        <v>1</v>
      </c>
      <c r="I23" s="78" t="s">
        <v>2</v>
      </c>
      <c r="J23" s="77" t="s">
        <v>3</v>
      </c>
      <c r="K23" s="78" t="s">
        <v>4</v>
      </c>
      <c r="L23" s="77" t="s">
        <v>5</v>
      </c>
      <c r="M23" s="78" t="s">
        <v>6</v>
      </c>
      <c r="N23" s="79" t="s">
        <v>19</v>
      </c>
    </row>
    <row r="24" spans="1:27" x14ac:dyDescent="0.35">
      <c r="A24" s="80"/>
      <c r="B24" s="81"/>
      <c r="C24" s="82"/>
      <c r="D24" s="83"/>
      <c r="E24" s="82"/>
      <c r="F24" s="83"/>
      <c r="G24" s="82"/>
      <c r="H24" s="83"/>
      <c r="I24" s="82"/>
      <c r="J24" s="83"/>
      <c r="K24" s="82"/>
      <c r="L24" s="83"/>
      <c r="M24" s="82"/>
      <c r="N24" s="81"/>
    </row>
    <row r="25" spans="1:27" x14ac:dyDescent="0.35">
      <c r="A25" s="84" t="s">
        <v>106</v>
      </c>
      <c r="B25" s="85">
        <v>0</v>
      </c>
      <c r="C25" s="85">
        <v>0</v>
      </c>
      <c r="D25" s="85">
        <v>0</v>
      </c>
      <c r="E25" s="85">
        <v>0</v>
      </c>
      <c r="F25" s="86">
        <v>0</v>
      </c>
      <c r="G25" s="86">
        <v>0</v>
      </c>
      <c r="H25" s="86">
        <v>0</v>
      </c>
      <c r="I25" s="86">
        <v>417</v>
      </c>
      <c r="J25" s="86">
        <v>833</v>
      </c>
      <c r="K25" s="86">
        <v>833</v>
      </c>
      <c r="L25" s="86">
        <v>833</v>
      </c>
      <c r="M25" s="86">
        <v>833</v>
      </c>
      <c r="N25" s="86">
        <f>SUM(B25:M25)</f>
        <v>3749</v>
      </c>
    </row>
    <row r="26" spans="1:27" x14ac:dyDescent="0.35">
      <c r="A26" s="84"/>
      <c r="B26" s="87"/>
      <c r="C26" s="84"/>
      <c r="E26" s="84"/>
      <c r="F26" s="73"/>
      <c r="G26" s="88"/>
      <c r="H26" s="73"/>
      <c r="I26" s="88"/>
      <c r="J26" s="73"/>
      <c r="K26" s="88"/>
      <c r="L26" s="73"/>
      <c r="M26" s="88"/>
      <c r="N26" s="89"/>
    </row>
    <row r="27" spans="1:27" ht="15" thickBot="1" x14ac:dyDescent="0.4">
      <c r="A27" s="90" t="s">
        <v>19</v>
      </c>
      <c r="B27" s="91">
        <f>SUM(B25:B26)</f>
        <v>0</v>
      </c>
      <c r="C27" s="92">
        <f t="shared" ref="C27:N27" si="4">SUM(C25:C26)</f>
        <v>0</v>
      </c>
      <c r="D27" s="92">
        <f t="shared" si="4"/>
        <v>0</v>
      </c>
      <c r="E27" s="92">
        <f t="shared" si="4"/>
        <v>0</v>
      </c>
      <c r="F27" s="93">
        <f t="shared" si="4"/>
        <v>0</v>
      </c>
      <c r="G27" s="93">
        <f t="shared" si="4"/>
        <v>0</v>
      </c>
      <c r="H27" s="93">
        <f t="shared" si="4"/>
        <v>0</v>
      </c>
      <c r="I27" s="93">
        <f t="shared" si="4"/>
        <v>417</v>
      </c>
      <c r="J27" s="93">
        <f t="shared" si="4"/>
        <v>833</v>
      </c>
      <c r="K27" s="93">
        <f t="shared" si="4"/>
        <v>833</v>
      </c>
      <c r="L27" s="93">
        <f t="shared" si="4"/>
        <v>833</v>
      </c>
      <c r="M27" s="93">
        <f t="shared" si="4"/>
        <v>833</v>
      </c>
      <c r="N27" s="93">
        <f t="shared" si="4"/>
        <v>3749</v>
      </c>
    </row>
    <row r="28" spans="1:27" ht="15.5" x14ac:dyDescent="0.35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</row>
  </sheetData>
  <mergeCells count="14">
    <mergeCell ref="X5:Y5"/>
    <mergeCell ref="Z5:AA5"/>
    <mergeCell ref="L5:M5"/>
    <mergeCell ref="N5:O5"/>
    <mergeCell ref="P5:Q5"/>
    <mergeCell ref="R5:S5"/>
    <mergeCell ref="T5:U5"/>
    <mergeCell ref="V5:W5"/>
    <mergeCell ref="J5:K5"/>
    <mergeCell ref="A5:A6"/>
    <mergeCell ref="B5:C5"/>
    <mergeCell ref="D5:E5"/>
    <mergeCell ref="F5:G5"/>
    <mergeCell ref="H5:I5"/>
  </mergeCells>
  <pageMargins left="0" right="0" top="0" bottom="0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B6478-FFB8-453E-8C86-A3E95DA0FAF1}">
  <sheetPr>
    <tabColor rgb="FFFF0000"/>
    <pageSetUpPr fitToPage="1"/>
  </sheetPr>
  <dimension ref="A1:AV31"/>
  <sheetViews>
    <sheetView zoomScaleNormal="100" workbookViewId="0">
      <selection activeCell="AR27" sqref="A1:AR27"/>
    </sheetView>
  </sheetViews>
  <sheetFormatPr defaultColWidth="9.1796875" defaultRowHeight="14" x14ac:dyDescent="0.3"/>
  <cols>
    <col min="1" max="1" width="34.81640625" style="16" customWidth="1"/>
    <col min="2" max="2" width="10.7265625" style="15" bestFit="1" customWidth="1"/>
    <col min="3" max="3" width="12.7265625" style="16" customWidth="1"/>
    <col min="4" max="4" width="15.453125" style="15" hidden="1" customWidth="1"/>
    <col min="5" max="5" width="9.26953125" style="15" hidden="1" customWidth="1"/>
    <col min="6" max="6" width="15.453125" style="15" hidden="1" customWidth="1"/>
    <col min="7" max="10" width="9.26953125" style="15" hidden="1" customWidth="1"/>
    <col min="11" max="13" width="9.54296875" style="15" hidden="1" customWidth="1"/>
    <col min="14" max="14" width="9.26953125" style="15" hidden="1" customWidth="1"/>
    <col min="15" max="15" width="9.54296875" style="15" hidden="1" customWidth="1"/>
    <col min="16" max="16" width="11.7265625" style="15" hidden="1" customWidth="1"/>
    <col min="17" max="17" width="9.54296875" style="15" hidden="1" customWidth="1"/>
    <col min="18" max="18" width="9.26953125" style="15" hidden="1" customWidth="1"/>
    <col min="19" max="19" width="9.54296875" style="15" hidden="1" customWidth="1"/>
    <col min="20" max="20" width="10.7265625" style="15" hidden="1" customWidth="1"/>
    <col min="21" max="21" width="9.54296875" style="15" hidden="1" customWidth="1"/>
    <col min="22" max="22" width="9.26953125" style="15" hidden="1" customWidth="1"/>
    <col min="23" max="23" width="9.54296875" style="15" hidden="1" customWidth="1"/>
    <col min="24" max="24" width="9.26953125" style="15" hidden="1" customWidth="1"/>
    <col min="25" max="25" width="9.54296875" style="15" hidden="1" customWidth="1"/>
    <col min="26" max="26" width="9.26953125" style="15" hidden="1" customWidth="1"/>
    <col min="27" max="27" width="9.54296875" style="15" hidden="1" customWidth="1"/>
    <col min="28" max="28" width="9.26953125" style="15" hidden="1" customWidth="1"/>
    <col min="29" max="29" width="23.26953125" style="15" customWidth="1"/>
    <col min="30" max="30" width="15.54296875" style="15" customWidth="1"/>
    <col min="31" max="31" width="14.6328125" style="15" customWidth="1"/>
    <col min="32" max="44" width="10.54296875" style="15" customWidth="1"/>
    <col min="45" max="45" width="14.81640625" style="16" hidden="1" customWidth="1"/>
    <col min="46" max="46" width="14.1796875" style="16" hidden="1" customWidth="1"/>
    <col min="47" max="47" width="15.81640625" style="16" hidden="1" customWidth="1"/>
    <col min="48" max="48" width="12" style="16" bestFit="1" customWidth="1"/>
    <col min="49" max="16384" width="9.1796875" style="16"/>
  </cols>
  <sheetData>
    <row r="1" spans="1:48" x14ac:dyDescent="0.3">
      <c r="A1" s="14" t="s">
        <v>0</v>
      </c>
      <c r="AU1" s="14" t="s">
        <v>26</v>
      </c>
    </row>
    <row r="2" spans="1:48" x14ac:dyDescent="0.3">
      <c r="A2" s="14" t="s">
        <v>175</v>
      </c>
      <c r="AU2" s="14"/>
    </row>
    <row r="3" spans="1:48" x14ac:dyDescent="0.3">
      <c r="A3" s="381" t="s">
        <v>84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14" t="s">
        <v>81</v>
      </c>
      <c r="AD3" s="313">
        <v>9.2999999999999999E-2</v>
      </c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382" t="s">
        <v>27</v>
      </c>
      <c r="AT3" s="382"/>
      <c r="AU3" s="382"/>
    </row>
    <row r="4" spans="1:48" ht="20.25" customHeight="1" x14ac:dyDescent="0.3">
      <c r="A4" s="383" t="s">
        <v>28</v>
      </c>
      <c r="B4" s="384" t="s">
        <v>29</v>
      </c>
      <c r="C4" s="385" t="s">
        <v>30</v>
      </c>
      <c r="D4" s="386" t="s">
        <v>31</v>
      </c>
      <c r="E4" s="380" t="s">
        <v>20</v>
      </c>
      <c r="F4" s="380"/>
      <c r="G4" s="380" t="s">
        <v>21</v>
      </c>
      <c r="H4" s="380"/>
      <c r="I4" s="380" t="s">
        <v>22</v>
      </c>
      <c r="J4" s="380"/>
      <c r="K4" s="380" t="s">
        <v>23</v>
      </c>
      <c r="L4" s="380"/>
      <c r="M4" s="380" t="s">
        <v>24</v>
      </c>
      <c r="N4" s="380"/>
      <c r="O4" s="380" t="s">
        <v>25</v>
      </c>
      <c r="P4" s="380"/>
      <c r="Q4" s="380" t="s">
        <v>1</v>
      </c>
      <c r="R4" s="380"/>
      <c r="S4" s="380" t="s">
        <v>2</v>
      </c>
      <c r="T4" s="380"/>
      <c r="U4" s="380" t="s">
        <v>3</v>
      </c>
      <c r="V4" s="380"/>
      <c r="W4" s="380" t="s">
        <v>4</v>
      </c>
      <c r="X4" s="380"/>
      <c r="Y4" s="380" t="s">
        <v>5</v>
      </c>
      <c r="Z4" s="380"/>
      <c r="AA4" s="380" t="s">
        <v>6</v>
      </c>
      <c r="AB4" s="380"/>
      <c r="AC4" s="387" t="s">
        <v>32</v>
      </c>
      <c r="AD4" s="387" t="s">
        <v>183</v>
      </c>
      <c r="AE4" s="387" t="s">
        <v>177</v>
      </c>
      <c r="AF4" s="394" t="s">
        <v>10</v>
      </c>
      <c r="AG4" s="384"/>
      <c r="AH4" s="384"/>
      <c r="AI4" s="384"/>
      <c r="AJ4" s="384"/>
      <c r="AK4" s="384"/>
      <c r="AL4" s="384"/>
      <c r="AM4" s="384"/>
      <c r="AN4" s="384"/>
      <c r="AO4" s="384"/>
      <c r="AP4" s="384"/>
      <c r="AQ4" s="386"/>
      <c r="AR4" s="387" t="s">
        <v>19</v>
      </c>
      <c r="AS4" s="20" t="s">
        <v>34</v>
      </c>
      <c r="AT4" s="20" t="s">
        <v>35</v>
      </c>
      <c r="AU4" s="20" t="s">
        <v>36</v>
      </c>
    </row>
    <row r="5" spans="1:48" x14ac:dyDescent="0.3">
      <c r="A5" s="383"/>
      <c r="B5" s="384"/>
      <c r="C5" s="385"/>
      <c r="D5" s="386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388"/>
      <c r="AD5" s="388"/>
      <c r="AE5" s="388"/>
      <c r="AF5" s="390">
        <v>45315</v>
      </c>
      <c r="AG5" s="390">
        <v>45347</v>
      </c>
      <c r="AH5" s="390">
        <v>45377</v>
      </c>
      <c r="AI5" s="390">
        <v>45409</v>
      </c>
      <c r="AJ5" s="390">
        <v>45440</v>
      </c>
      <c r="AK5" s="390">
        <v>45452</v>
      </c>
      <c r="AL5" s="390">
        <v>45483</v>
      </c>
      <c r="AM5" s="390">
        <v>45515</v>
      </c>
      <c r="AN5" s="392">
        <v>45547</v>
      </c>
      <c r="AO5" s="390">
        <v>45578</v>
      </c>
      <c r="AP5" s="390">
        <v>45610</v>
      </c>
      <c r="AQ5" s="390">
        <v>45641</v>
      </c>
      <c r="AR5" s="388"/>
      <c r="AS5" s="20"/>
      <c r="AT5" s="20"/>
      <c r="AU5" s="20"/>
    </row>
    <row r="6" spans="1:48" x14ac:dyDescent="0.3">
      <c r="A6" s="383"/>
      <c r="B6" s="384"/>
      <c r="C6" s="385"/>
      <c r="D6" s="386"/>
      <c r="E6" s="21" t="s">
        <v>37</v>
      </c>
      <c r="F6" s="21" t="s">
        <v>38</v>
      </c>
      <c r="G6" s="21" t="s">
        <v>37</v>
      </c>
      <c r="H6" s="21" t="s">
        <v>38</v>
      </c>
      <c r="I6" s="21" t="s">
        <v>37</v>
      </c>
      <c r="J6" s="21" t="s">
        <v>38</v>
      </c>
      <c r="K6" s="21" t="s">
        <v>37</v>
      </c>
      <c r="L6" s="21" t="s">
        <v>38</v>
      </c>
      <c r="M6" s="21" t="s">
        <v>37</v>
      </c>
      <c r="N6" s="21" t="s">
        <v>38</v>
      </c>
      <c r="O6" s="21" t="s">
        <v>37</v>
      </c>
      <c r="P6" s="21" t="s">
        <v>38</v>
      </c>
      <c r="Q6" s="21" t="s">
        <v>37</v>
      </c>
      <c r="R6" s="21" t="s">
        <v>38</v>
      </c>
      <c r="S6" s="21" t="s">
        <v>37</v>
      </c>
      <c r="T6" s="21" t="s">
        <v>38</v>
      </c>
      <c r="U6" s="21" t="s">
        <v>37</v>
      </c>
      <c r="V6" s="21" t="s">
        <v>38</v>
      </c>
      <c r="W6" s="21" t="s">
        <v>37</v>
      </c>
      <c r="X6" s="21" t="s">
        <v>38</v>
      </c>
      <c r="Y6" s="21" t="s">
        <v>37</v>
      </c>
      <c r="Z6" s="21" t="s">
        <v>38</v>
      </c>
      <c r="AA6" s="21" t="s">
        <v>37</v>
      </c>
      <c r="AB6" s="21" t="s">
        <v>38</v>
      </c>
      <c r="AC6" s="389"/>
      <c r="AD6" s="389"/>
      <c r="AE6" s="389"/>
      <c r="AF6" s="391"/>
      <c r="AG6" s="391"/>
      <c r="AH6" s="391"/>
      <c r="AI6" s="391"/>
      <c r="AJ6" s="391"/>
      <c r="AK6" s="391"/>
      <c r="AL6" s="391"/>
      <c r="AM6" s="391"/>
      <c r="AN6" s="393"/>
      <c r="AO6" s="391"/>
      <c r="AP6" s="391"/>
      <c r="AQ6" s="391"/>
      <c r="AR6" s="389"/>
      <c r="AS6" s="19" t="s">
        <v>38</v>
      </c>
      <c r="AT6" s="19" t="s">
        <v>38</v>
      </c>
      <c r="AU6" s="19" t="s">
        <v>38</v>
      </c>
    </row>
    <row r="7" spans="1:48" x14ac:dyDescent="0.3">
      <c r="A7" s="36" t="s">
        <v>39</v>
      </c>
      <c r="B7" s="37">
        <v>10000</v>
      </c>
      <c r="C7" s="36" t="s">
        <v>40</v>
      </c>
      <c r="D7" s="37">
        <v>1880</v>
      </c>
      <c r="E7" s="37"/>
      <c r="F7" s="37">
        <v>0</v>
      </c>
      <c r="G7" s="37"/>
      <c r="H7" s="37">
        <v>47</v>
      </c>
      <c r="I7" s="37"/>
      <c r="J7" s="37">
        <v>95</v>
      </c>
      <c r="K7" s="37"/>
      <c r="L7" s="37">
        <v>43</v>
      </c>
      <c r="M7" s="37"/>
      <c r="N7" s="37">
        <v>75</v>
      </c>
      <c r="O7" s="37"/>
      <c r="P7" s="37">
        <v>36</v>
      </c>
      <c r="Q7" s="37"/>
      <c r="R7" s="37">
        <v>35</v>
      </c>
      <c r="S7" s="37"/>
      <c r="T7" s="37"/>
      <c r="U7" s="37"/>
      <c r="V7" s="37"/>
      <c r="W7" s="37"/>
      <c r="X7" s="37"/>
      <c r="Y7" s="37"/>
      <c r="Z7" s="37"/>
      <c r="AA7" s="37">
        <v>140</v>
      </c>
      <c r="AB7" s="38"/>
      <c r="AC7" s="36" t="s">
        <v>176</v>
      </c>
      <c r="AD7" s="164">
        <v>480</v>
      </c>
      <c r="AE7" s="132">
        <v>60</v>
      </c>
      <c r="AF7" s="39">
        <v>0.59</v>
      </c>
      <c r="AG7" s="40">
        <v>0</v>
      </c>
      <c r="AH7" s="132">
        <v>0</v>
      </c>
      <c r="AI7" s="132">
        <v>0</v>
      </c>
      <c r="AJ7" s="132">
        <v>0</v>
      </c>
      <c r="AK7" s="132">
        <v>0</v>
      </c>
      <c r="AL7" s="40">
        <v>0</v>
      </c>
      <c r="AM7" s="132">
        <v>0</v>
      </c>
      <c r="AN7" s="279">
        <v>0</v>
      </c>
      <c r="AO7" s="132">
        <v>0</v>
      </c>
      <c r="AP7" s="132">
        <v>0</v>
      </c>
      <c r="AQ7" s="132">
        <v>0</v>
      </c>
      <c r="AR7" s="43">
        <f>AF7+AG7+AH7+AI7+AJ7+AK7+AL7+AM7+AN7+AO7+AP7+AQ7</f>
        <v>0.59</v>
      </c>
      <c r="AS7" s="43" t="e">
        <f>#REF!</f>
        <v>#REF!</v>
      </c>
      <c r="AT7" s="36">
        <v>0</v>
      </c>
      <c r="AU7" s="310">
        <v>0</v>
      </c>
      <c r="AV7" s="148"/>
    </row>
    <row r="8" spans="1:48" x14ac:dyDescent="0.3">
      <c r="A8" s="36" t="s">
        <v>39</v>
      </c>
      <c r="B8" s="37">
        <v>6200</v>
      </c>
      <c r="C8" s="36" t="s">
        <v>42</v>
      </c>
      <c r="D8" s="37">
        <v>1328</v>
      </c>
      <c r="E8" s="37"/>
      <c r="F8" s="37"/>
      <c r="G8" s="37"/>
      <c r="H8" s="37">
        <v>33</v>
      </c>
      <c r="I8" s="37"/>
      <c r="J8" s="37">
        <v>67</v>
      </c>
      <c r="K8" s="37"/>
      <c r="L8" s="37">
        <v>30</v>
      </c>
      <c r="M8" s="37"/>
      <c r="N8" s="37">
        <v>55</v>
      </c>
      <c r="O8" s="37"/>
      <c r="P8" s="37">
        <v>26</v>
      </c>
      <c r="Q8" s="37"/>
      <c r="R8" s="37">
        <v>24</v>
      </c>
      <c r="S8" s="37"/>
      <c r="T8" s="37"/>
      <c r="U8" s="37"/>
      <c r="V8" s="37"/>
      <c r="W8" s="37"/>
      <c r="X8" s="37"/>
      <c r="Y8" s="37"/>
      <c r="Z8" s="37"/>
      <c r="AA8" s="37">
        <v>87</v>
      </c>
      <c r="AB8" s="38"/>
      <c r="AC8" s="36" t="s">
        <v>176</v>
      </c>
      <c r="AD8" s="164">
        <v>457.99999997999953</v>
      </c>
      <c r="AE8" s="132">
        <v>196.99999997999953</v>
      </c>
      <c r="AF8" s="39">
        <v>1.9371666664699951</v>
      </c>
      <c r="AG8" s="40">
        <v>1.0816666664699954</v>
      </c>
      <c r="AH8" s="132">
        <v>0.22616666646999548</v>
      </c>
      <c r="AI8" s="132">
        <v>0</v>
      </c>
      <c r="AJ8" s="132">
        <v>0</v>
      </c>
      <c r="AK8" s="132">
        <v>0</v>
      </c>
      <c r="AL8" s="40">
        <v>0</v>
      </c>
      <c r="AM8" s="132">
        <v>0</v>
      </c>
      <c r="AN8" s="279">
        <v>0</v>
      </c>
      <c r="AO8" s="132">
        <v>0</v>
      </c>
      <c r="AP8" s="132">
        <v>0</v>
      </c>
      <c r="AQ8" s="132">
        <v>0</v>
      </c>
      <c r="AR8" s="43">
        <f t="shared" ref="AR8:AR26" si="0">AF8+AG8+AH8+AI8+AJ8+AK8+AL8+AM8+AN8+AO8+AP8+AQ8</f>
        <v>3.2449999994099858</v>
      </c>
      <c r="AS8" s="36">
        <v>0</v>
      </c>
      <c r="AT8" s="36">
        <v>0</v>
      </c>
      <c r="AU8" s="314" t="e">
        <f>#REF!</f>
        <v>#REF!</v>
      </c>
      <c r="AV8" s="148"/>
    </row>
    <row r="9" spans="1:48" x14ac:dyDescent="0.3">
      <c r="A9" s="36" t="s">
        <v>39</v>
      </c>
      <c r="B9" s="37">
        <v>35000</v>
      </c>
      <c r="C9" s="36" t="s">
        <v>43</v>
      </c>
      <c r="D9" s="37">
        <v>28200</v>
      </c>
      <c r="E9" s="37">
        <v>400</v>
      </c>
      <c r="F9" s="37">
        <v>678</v>
      </c>
      <c r="G9" s="37"/>
      <c r="H9" s="37">
        <v>693</v>
      </c>
      <c r="I9" s="37"/>
      <c r="J9" s="37">
        <v>714</v>
      </c>
      <c r="K9" s="37"/>
      <c r="L9" s="37">
        <v>1360</v>
      </c>
      <c r="M9" s="37"/>
      <c r="N9" s="37">
        <v>538</v>
      </c>
      <c r="O9" s="37"/>
      <c r="P9" s="37">
        <v>549</v>
      </c>
      <c r="Q9" s="37"/>
      <c r="R9" s="37">
        <v>502</v>
      </c>
      <c r="S9" s="37"/>
      <c r="T9" s="37"/>
      <c r="U9" s="37"/>
      <c r="V9" s="37"/>
      <c r="W9" s="37"/>
      <c r="X9" s="37"/>
      <c r="Y9" s="37"/>
      <c r="Z9" s="37"/>
      <c r="AA9" s="37">
        <v>400</v>
      </c>
      <c r="AB9" s="38"/>
      <c r="AC9" s="36" t="s">
        <v>176</v>
      </c>
      <c r="AD9" s="341">
        <v>23700</v>
      </c>
      <c r="AE9" s="132">
        <v>22200</v>
      </c>
      <c r="AF9" s="39">
        <v>218.3</v>
      </c>
      <c r="AG9" s="40">
        <v>213.38333333333335</v>
      </c>
      <c r="AH9" s="132">
        <v>208.46666666666667</v>
      </c>
      <c r="AI9" s="132">
        <v>203.55</v>
      </c>
      <c r="AJ9" s="132">
        <v>198.63333333333335</v>
      </c>
      <c r="AK9" s="132">
        <v>193.71666666666667</v>
      </c>
      <c r="AL9" s="40">
        <v>188.8</v>
      </c>
      <c r="AM9" s="132">
        <v>183.88333333333335</v>
      </c>
      <c r="AN9" s="279">
        <v>178.96666666666667</v>
      </c>
      <c r="AO9" s="132">
        <v>174.05</v>
      </c>
      <c r="AP9" s="132">
        <v>169.13333333333335</v>
      </c>
      <c r="AQ9" s="132">
        <v>164.21666666666667</v>
      </c>
      <c r="AR9" s="43">
        <f t="shared" si="0"/>
        <v>2295.1000000000004</v>
      </c>
      <c r="AS9" s="43" t="e">
        <f>#REF!/35*29</f>
        <v>#REF!</v>
      </c>
      <c r="AT9" s="43" t="e">
        <f>#REF!/35*6</f>
        <v>#REF!</v>
      </c>
      <c r="AU9" s="310">
        <v>0</v>
      </c>
      <c r="AV9" s="148"/>
    </row>
    <row r="10" spans="1:48" x14ac:dyDescent="0.3">
      <c r="A10" s="36" t="s">
        <v>39</v>
      </c>
      <c r="B10" s="37">
        <v>10000</v>
      </c>
      <c r="C10" s="36" t="s">
        <v>45</v>
      </c>
      <c r="D10" s="37">
        <v>9133.33</v>
      </c>
      <c r="E10" s="37"/>
      <c r="F10" s="37">
        <v>221</v>
      </c>
      <c r="G10" s="37"/>
      <c r="H10" s="37">
        <v>0</v>
      </c>
      <c r="I10" s="37"/>
      <c r="J10" s="37">
        <v>446</v>
      </c>
      <c r="K10" s="37"/>
      <c r="L10" s="37">
        <v>235</v>
      </c>
      <c r="M10" s="37"/>
      <c r="N10" s="37">
        <v>175</v>
      </c>
      <c r="O10" s="37"/>
      <c r="P10" s="37">
        <v>180</v>
      </c>
      <c r="Q10" s="37"/>
      <c r="R10" s="37">
        <v>175</v>
      </c>
      <c r="S10" s="37"/>
      <c r="T10" s="37"/>
      <c r="U10" s="37"/>
      <c r="V10" s="37"/>
      <c r="W10" s="37"/>
      <c r="X10" s="37"/>
      <c r="Y10" s="37"/>
      <c r="Z10" s="37"/>
      <c r="AA10" s="37">
        <v>150</v>
      </c>
      <c r="AB10" s="38"/>
      <c r="AC10" s="36" t="s">
        <v>176</v>
      </c>
      <c r="AD10" s="341">
        <v>7508.3333333400005</v>
      </c>
      <c r="AE10" s="132">
        <v>6758.3333333400005</v>
      </c>
      <c r="AF10" s="39">
        <v>66.45694444451</v>
      </c>
      <c r="AG10" s="39">
        <v>64.981944444510006</v>
      </c>
      <c r="AH10" s="132">
        <v>63.506944444510005</v>
      </c>
      <c r="AI10" s="132">
        <v>62.031944444510003</v>
      </c>
      <c r="AJ10" s="132">
        <v>59.573611111176668</v>
      </c>
      <c r="AK10" s="132">
        <v>57.115277777843332</v>
      </c>
      <c r="AL10" s="40">
        <v>54.656944444510003</v>
      </c>
      <c r="AM10" s="132">
        <v>52.198611111176668</v>
      </c>
      <c r="AN10" s="279">
        <v>49.740277777843332</v>
      </c>
      <c r="AO10" s="132">
        <v>47.281944444510003</v>
      </c>
      <c r="AP10" s="132">
        <v>44.823611111176668</v>
      </c>
      <c r="AQ10" s="132">
        <v>42.365277777843332</v>
      </c>
      <c r="AR10" s="43">
        <f t="shared" si="0"/>
        <v>664.73333333411995</v>
      </c>
      <c r="AS10" s="43" t="e">
        <f>#REF!</f>
        <v>#REF!</v>
      </c>
      <c r="AT10" s="36"/>
      <c r="AU10" s="310"/>
      <c r="AV10" s="148"/>
    </row>
    <row r="11" spans="1:48" x14ac:dyDescent="0.3">
      <c r="A11" s="36" t="s">
        <v>39</v>
      </c>
      <c r="B11" s="37">
        <v>17000</v>
      </c>
      <c r="C11" s="36" t="s">
        <v>46</v>
      </c>
      <c r="D11" s="37">
        <v>17000</v>
      </c>
      <c r="E11" s="37"/>
      <c r="F11" s="37">
        <v>419</v>
      </c>
      <c r="G11" s="37"/>
      <c r="H11" s="37">
        <v>443</v>
      </c>
      <c r="I11" s="37"/>
      <c r="J11" s="37">
        <v>138</v>
      </c>
      <c r="K11" s="37"/>
      <c r="L11" s="37">
        <v>699</v>
      </c>
      <c r="M11" s="37"/>
      <c r="N11" s="37">
        <v>333</v>
      </c>
      <c r="O11" s="37"/>
      <c r="P11" s="37">
        <v>343</v>
      </c>
      <c r="Q11" s="37"/>
      <c r="R11" s="37">
        <v>330</v>
      </c>
      <c r="S11" s="37"/>
      <c r="T11" s="37"/>
      <c r="U11" s="37"/>
      <c r="V11" s="37"/>
      <c r="W11" s="37"/>
      <c r="X11" s="37"/>
      <c r="Y11" s="37"/>
      <c r="Z11" s="37"/>
      <c r="AA11" s="37">
        <v>1062.5</v>
      </c>
      <c r="AB11" s="38"/>
      <c r="AC11" s="36" t="s">
        <v>176</v>
      </c>
      <c r="AD11" s="164">
        <v>12750</v>
      </c>
      <c r="AE11" s="132">
        <v>11687.5</v>
      </c>
      <c r="AF11" s="39">
        <v>114.92708333333333</v>
      </c>
      <c r="AG11" s="40">
        <v>114.92708333333333</v>
      </c>
      <c r="AH11" s="132">
        <v>114.92708333333333</v>
      </c>
      <c r="AI11" s="132">
        <v>104.47916666666667</v>
      </c>
      <c r="AJ11" s="132">
        <v>104.47916666666667</v>
      </c>
      <c r="AK11" s="132">
        <v>104.47916666666667</v>
      </c>
      <c r="AL11" s="40">
        <v>94.03125</v>
      </c>
      <c r="AM11" s="132">
        <v>94.03125</v>
      </c>
      <c r="AN11" s="279">
        <v>94.03125</v>
      </c>
      <c r="AO11" s="132">
        <v>83.583333333333329</v>
      </c>
      <c r="AP11" s="132">
        <v>83.583333333333329</v>
      </c>
      <c r="AQ11" s="132">
        <v>83.583333333333329</v>
      </c>
      <c r="AR11" s="43">
        <f t="shared" si="0"/>
        <v>1191.0625</v>
      </c>
      <c r="AS11" s="43" t="e">
        <f>#REF!</f>
        <v>#REF!</v>
      </c>
      <c r="AT11" s="36"/>
      <c r="AU11" s="310"/>
      <c r="AV11" s="148"/>
    </row>
    <row r="12" spans="1:48" x14ac:dyDescent="0.3">
      <c r="A12" s="36"/>
      <c r="B12" s="37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8"/>
      <c r="AC12" s="38"/>
      <c r="AD12" s="38"/>
      <c r="AE12" s="38"/>
      <c r="AF12" s="39"/>
      <c r="AG12" s="40"/>
      <c r="AH12" s="38"/>
      <c r="AI12" s="38"/>
      <c r="AJ12" s="38"/>
      <c r="AK12" s="44"/>
      <c r="AL12" s="44"/>
      <c r="AM12" s="42"/>
      <c r="AN12" s="176"/>
      <c r="AO12" s="44"/>
      <c r="AP12" s="44"/>
      <c r="AQ12" s="44"/>
      <c r="AR12" s="43">
        <f t="shared" si="0"/>
        <v>0</v>
      </c>
      <c r="AS12" s="36"/>
      <c r="AT12" s="36"/>
      <c r="AU12" s="310"/>
      <c r="AV12" s="148"/>
    </row>
    <row r="13" spans="1:48" x14ac:dyDescent="0.3">
      <c r="A13" s="36" t="s">
        <v>51</v>
      </c>
      <c r="B13" s="37">
        <v>5000</v>
      </c>
      <c r="C13" s="36" t="s">
        <v>52</v>
      </c>
      <c r="D13" s="37">
        <v>5000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>
        <v>673</v>
      </c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8">
        <f>B13*0.2/12*6</f>
        <v>500</v>
      </c>
      <c r="AC13" s="36" t="s">
        <v>178</v>
      </c>
      <c r="AD13" s="164">
        <v>4500</v>
      </c>
      <c r="AE13" s="36">
        <v>4000</v>
      </c>
      <c r="AF13" s="39">
        <v>0</v>
      </c>
      <c r="AG13" s="40">
        <v>0</v>
      </c>
      <c r="AH13" s="36">
        <v>0</v>
      </c>
      <c r="AI13" s="36">
        <v>0</v>
      </c>
      <c r="AJ13" s="36">
        <v>0</v>
      </c>
      <c r="AK13" s="41">
        <v>216</v>
      </c>
      <c r="AL13" s="42">
        <v>0</v>
      </c>
      <c r="AM13" s="41">
        <v>0</v>
      </c>
      <c r="AN13" s="175">
        <v>0</v>
      </c>
      <c r="AO13" s="41">
        <v>0</v>
      </c>
      <c r="AP13" s="41">
        <v>0</v>
      </c>
      <c r="AQ13" s="41">
        <v>189</v>
      </c>
      <c r="AR13" s="43">
        <f t="shared" si="0"/>
        <v>405</v>
      </c>
      <c r="AS13" s="36"/>
      <c r="AT13" s="43" t="e">
        <f>#REF!</f>
        <v>#REF!</v>
      </c>
      <c r="AU13" s="310"/>
      <c r="AV13" s="148"/>
    </row>
    <row r="14" spans="1:48" x14ac:dyDescent="0.3">
      <c r="A14" s="36"/>
      <c r="B14" s="37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8"/>
      <c r="AC14" s="38"/>
      <c r="AD14" s="38"/>
      <c r="AE14" s="38"/>
      <c r="AF14" s="39"/>
      <c r="AG14" s="40"/>
      <c r="AH14" s="38"/>
      <c r="AI14" s="38"/>
      <c r="AJ14" s="38"/>
      <c r="AK14" s="44"/>
      <c r="AL14" s="44"/>
      <c r="AM14" s="42"/>
      <c r="AN14" s="176"/>
      <c r="AO14" s="44"/>
      <c r="AP14" s="44"/>
      <c r="AQ14" s="44"/>
      <c r="AR14" s="43">
        <f t="shared" si="0"/>
        <v>0</v>
      </c>
      <c r="AS14" s="36"/>
      <c r="AT14" s="36"/>
      <c r="AU14" s="310"/>
      <c r="AV14" s="148"/>
    </row>
    <row r="15" spans="1:48" x14ac:dyDescent="0.3">
      <c r="A15" s="36" t="s">
        <v>53</v>
      </c>
      <c r="B15" s="37">
        <v>15000</v>
      </c>
      <c r="C15" s="45" t="s">
        <v>54</v>
      </c>
      <c r="D15" s="37">
        <v>11710</v>
      </c>
      <c r="E15" s="37">
        <v>214</v>
      </c>
      <c r="F15" s="37">
        <f>'[16]BOC 15 Bn'!L52</f>
        <v>315.66584876712335</v>
      </c>
      <c r="G15" s="37">
        <v>214</v>
      </c>
      <c r="H15" s="37">
        <f>'[16]BOC 15 Bn'!L53</f>
        <v>285.83307945205479</v>
      </c>
      <c r="I15" s="37">
        <v>214</v>
      </c>
      <c r="J15" s="37">
        <f>'[16]BOC 15 Bn'!L54</f>
        <v>236.1687846575343</v>
      </c>
      <c r="K15" s="37">
        <v>214</v>
      </c>
      <c r="L15" s="37">
        <f>'[16]BOC 15 Bn'!L55</f>
        <v>246.35251561643835</v>
      </c>
      <c r="M15" s="37">
        <v>214</v>
      </c>
      <c r="N15" s="37">
        <f>'[16]BOC 15 Bn'!L56</f>
        <v>208.32098630136989</v>
      </c>
      <c r="O15" s="37">
        <v>214</v>
      </c>
      <c r="P15" s="37">
        <f>'[16]BOC 15 Bn'!L57</f>
        <v>207.69203342465752</v>
      </c>
      <c r="Q15" s="37">
        <v>214</v>
      </c>
      <c r="R15" s="37">
        <f>'[16]BOC 15 Bn'!L58</f>
        <v>199.2157808219178</v>
      </c>
      <c r="S15" s="37">
        <v>214</v>
      </c>
      <c r="T15" s="37">
        <f>'[16]BOC 15 Bn'!L59</f>
        <v>191.13649315972606</v>
      </c>
      <c r="U15" s="37">
        <v>243</v>
      </c>
      <c r="V15" s="37">
        <f>'[16]BOC 15 Bn'!L60</f>
        <v>180.79436712328769</v>
      </c>
      <c r="W15" s="37">
        <v>243</v>
      </c>
      <c r="X15" s="37">
        <f>'[16]BOC 15 Bn'!L61</f>
        <v>176.49226849315065</v>
      </c>
      <c r="Y15" s="37">
        <v>243</v>
      </c>
      <c r="Z15" s="37">
        <f>'[16]BOC 15 Bn'!L62</f>
        <v>172.19016986301369</v>
      </c>
      <c r="AA15" s="37">
        <v>243</v>
      </c>
      <c r="AB15" s="38">
        <f>'[16]BOC 15 Bn'!L63</f>
        <v>167.88807123287671</v>
      </c>
      <c r="AC15" s="45" t="s">
        <v>179</v>
      </c>
      <c r="AD15" s="165">
        <v>7015</v>
      </c>
      <c r="AE15" s="40">
        <v>6172</v>
      </c>
      <c r="AF15" s="39">
        <v>55.548000000000002</v>
      </c>
      <c r="AG15" s="40">
        <v>53.018999999999998</v>
      </c>
      <c r="AH15" s="40">
        <v>50.49</v>
      </c>
      <c r="AI15" s="40">
        <v>47.960999999999999</v>
      </c>
      <c r="AJ15" s="40">
        <v>45.432000000000002</v>
      </c>
      <c r="AK15" s="42">
        <v>42.902999999999999</v>
      </c>
      <c r="AL15" s="42">
        <v>40.374000000000002</v>
      </c>
      <c r="AM15" s="42">
        <v>37.844999999999999</v>
      </c>
      <c r="AN15" s="177">
        <v>35.316000000000003</v>
      </c>
      <c r="AO15" s="42">
        <v>32.372999999999998</v>
      </c>
      <c r="AP15" s="42">
        <v>29.43</v>
      </c>
      <c r="AQ15" s="42">
        <v>26.486999999999998</v>
      </c>
      <c r="AR15" s="43">
        <f t="shared" si="0"/>
        <v>497.17800000000017</v>
      </c>
      <c r="AS15" s="43" t="e">
        <f>#REF!/3*2</f>
        <v>#REF!</v>
      </c>
      <c r="AT15" s="43" t="e">
        <f>#REF!/3</f>
        <v>#REF!</v>
      </c>
      <c r="AU15" s="310"/>
      <c r="AV15" s="148"/>
    </row>
    <row r="16" spans="1:48" x14ac:dyDescent="0.3">
      <c r="A16" s="36" t="s">
        <v>53</v>
      </c>
      <c r="B16" s="37">
        <v>5000</v>
      </c>
      <c r="C16" s="36" t="s">
        <v>55</v>
      </c>
      <c r="D16" s="37">
        <v>4820</v>
      </c>
      <c r="E16" s="37">
        <v>20</v>
      </c>
      <c r="F16" s="37">
        <f>'[16]BOC 5 Bn'!L44</f>
        <v>128.16961095890412</v>
      </c>
      <c r="G16" s="37">
        <v>20</v>
      </c>
      <c r="H16" s="37">
        <f>'[16]BOC 5 Bn'!L45</f>
        <v>116.83788493150686</v>
      </c>
      <c r="I16" s="37">
        <v>20</v>
      </c>
      <c r="J16" s="37">
        <f>'[16]BOC 5 Bn'!L46</f>
        <v>97.946849315068476</v>
      </c>
      <c r="K16" s="37">
        <v>20</v>
      </c>
      <c r="L16" s="37">
        <f>'[16]BOC 5 Bn'!L47</f>
        <v>103.89807671</v>
      </c>
      <c r="M16" s="37">
        <v>20</v>
      </c>
      <c r="N16" s="37">
        <f>'[16]BOC 5 Bn'!L48</f>
        <v>88.658652063835618</v>
      </c>
      <c r="O16" s="37">
        <v>20</v>
      </c>
      <c r="P16" s="37">
        <f>'[16]BOC 5 Bn'!L49</f>
        <v>90.373863628897453</v>
      </c>
      <c r="Q16" s="37">
        <v>20</v>
      </c>
      <c r="R16" s="37">
        <f>'[16]BOC 5 Bn'!L50</f>
        <v>88.201413694383561</v>
      </c>
      <c r="S16" s="37">
        <v>20</v>
      </c>
      <c r="T16" s="37">
        <f>'[16]BOC 5 Bn'!L51</f>
        <v>85.403956170136993</v>
      </c>
      <c r="U16" s="37">
        <v>20</v>
      </c>
      <c r="V16" s="37">
        <f>'[16]BOC 5 Bn'!L52</f>
        <v>85.251189041095884</v>
      </c>
      <c r="W16" s="37">
        <v>20</v>
      </c>
      <c r="X16" s="37">
        <f>'[16]BOC 5 Bn'!L53</f>
        <v>84.885304109589029</v>
      </c>
      <c r="Y16" s="37">
        <v>20</v>
      </c>
      <c r="Z16" s="37">
        <f>'[16]BOC 5 Bn'!L54</f>
        <v>84.519419178082188</v>
      </c>
      <c r="AA16" s="37">
        <v>20</v>
      </c>
      <c r="AB16" s="38">
        <f>'[16]BOC 5 Bn'!L55</f>
        <v>84.153534246575319</v>
      </c>
      <c r="AC16" s="45" t="s">
        <v>179</v>
      </c>
      <c r="AD16" s="342">
        <v>4310</v>
      </c>
      <c r="AE16" s="36">
        <v>4280</v>
      </c>
      <c r="AF16" s="39">
        <v>38.520000000000003</v>
      </c>
      <c r="AG16" s="40">
        <v>38.43</v>
      </c>
      <c r="AH16" s="36">
        <v>38.340000000000003</v>
      </c>
      <c r="AI16" s="36">
        <v>38.25</v>
      </c>
      <c r="AJ16" s="36">
        <v>37.979999999999997</v>
      </c>
      <c r="AK16" s="41">
        <v>37.71</v>
      </c>
      <c r="AL16" s="42">
        <v>37.44</v>
      </c>
      <c r="AM16" s="41">
        <v>37.17</v>
      </c>
      <c r="AN16" s="175">
        <v>36.9</v>
      </c>
      <c r="AO16" s="41">
        <v>36.630000000000003</v>
      </c>
      <c r="AP16" s="41">
        <v>36.621000000000002</v>
      </c>
      <c r="AQ16" s="41">
        <v>36.612000000000002</v>
      </c>
      <c r="AR16" s="43">
        <f t="shared" si="0"/>
        <v>450.60300000000001</v>
      </c>
      <c r="AS16" s="36"/>
      <c r="AT16" s="43" t="e">
        <f>#REF!</f>
        <v>#REF!</v>
      </c>
      <c r="AU16" s="310"/>
      <c r="AV16" s="148"/>
    </row>
    <row r="17" spans="1:48" x14ac:dyDescent="0.3">
      <c r="A17" s="36" t="s">
        <v>53</v>
      </c>
      <c r="B17" s="37">
        <v>3000</v>
      </c>
      <c r="C17" s="36" t="s">
        <v>56</v>
      </c>
      <c r="D17" s="37">
        <v>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>
        <v>50</v>
      </c>
      <c r="R17" s="37">
        <v>9</v>
      </c>
      <c r="S17" s="37">
        <v>50</v>
      </c>
      <c r="T17" s="37">
        <f>576*0.24/365*31</f>
        <v>11.740931506849316</v>
      </c>
      <c r="U17" s="37">
        <v>50</v>
      </c>
      <c r="V17" s="37">
        <f>1000*0.24/365*30</f>
        <v>19.726027397260275</v>
      </c>
      <c r="W17" s="37">
        <v>50</v>
      </c>
      <c r="X17" s="37">
        <f>1500*0.24/365*30</f>
        <v>29.589041095890408</v>
      </c>
      <c r="Y17" s="37">
        <v>50</v>
      </c>
      <c r="Z17" s="37">
        <f>2000*0.24/365*30</f>
        <v>39.452054794520549</v>
      </c>
      <c r="AA17" s="37">
        <v>50</v>
      </c>
      <c r="AB17" s="38">
        <f>2500*0.24/365*30</f>
        <v>49.315068493150683</v>
      </c>
      <c r="AC17" s="45" t="s">
        <v>180</v>
      </c>
      <c r="AD17" s="341">
        <v>1913.0069424499998</v>
      </c>
      <c r="AE17" s="132">
        <v>2099.9999999999995</v>
      </c>
      <c r="AF17" s="39">
        <v>19.774999999999995</v>
      </c>
      <c r="AG17" s="40">
        <v>19.304166666666664</v>
      </c>
      <c r="AH17" s="132">
        <v>18.833333333333332</v>
      </c>
      <c r="AI17" s="132">
        <v>18.362499999999997</v>
      </c>
      <c r="AJ17" s="132">
        <v>17.891666666666666</v>
      </c>
      <c r="AK17" s="132">
        <v>17.420833333333331</v>
      </c>
      <c r="AL17" s="40">
        <v>16.949999999999996</v>
      </c>
      <c r="AM17" s="132">
        <v>16.479166666666664</v>
      </c>
      <c r="AN17" s="279">
        <v>16.008333333333329</v>
      </c>
      <c r="AO17" s="132">
        <v>15.537499999999998</v>
      </c>
      <c r="AP17" s="132">
        <v>15.066666666666665</v>
      </c>
      <c r="AQ17" s="132">
        <v>14.59583333333333</v>
      </c>
      <c r="AR17" s="43">
        <f t="shared" si="0"/>
        <v>206.22499999999997</v>
      </c>
      <c r="AS17" s="36"/>
      <c r="AT17" s="36"/>
      <c r="AU17" s="314" t="e">
        <f>#REF!</f>
        <v>#REF!</v>
      </c>
      <c r="AV17" s="148"/>
    </row>
    <row r="18" spans="1:48" x14ac:dyDescent="0.3">
      <c r="A18" s="36"/>
      <c r="B18" s="37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8"/>
      <c r="AC18" s="38"/>
      <c r="AD18" s="38"/>
      <c r="AE18" s="38"/>
      <c r="AF18" s="39"/>
      <c r="AG18" s="40"/>
      <c r="AH18" s="38"/>
      <c r="AI18" s="38"/>
      <c r="AJ18" s="38"/>
      <c r="AK18" s="44"/>
      <c r="AL18" s="44"/>
      <c r="AM18" s="42" t="s">
        <v>124</v>
      </c>
      <c r="AN18" s="176"/>
      <c r="AO18" s="44"/>
      <c r="AP18" s="44"/>
      <c r="AQ18" s="44"/>
      <c r="AR18" s="43"/>
      <c r="AS18" s="36"/>
      <c r="AT18" s="36"/>
      <c r="AU18" s="310"/>
      <c r="AV18" s="148"/>
    </row>
    <row r="19" spans="1:48" x14ac:dyDescent="0.3">
      <c r="A19" s="36" t="s">
        <v>58</v>
      </c>
      <c r="B19" s="37">
        <v>3000</v>
      </c>
      <c r="C19" s="36" t="s">
        <v>59</v>
      </c>
      <c r="D19" s="37">
        <v>2312</v>
      </c>
      <c r="E19" s="37">
        <v>62.5</v>
      </c>
      <c r="F19" s="37">
        <f>[16]NTB3Bn!K21</f>
        <v>59.50513698630138</v>
      </c>
      <c r="G19" s="37">
        <v>62.5</v>
      </c>
      <c r="H19" s="37">
        <f>[16]NTB3Bn!K22</f>
        <v>57.950616438356178</v>
      </c>
      <c r="I19" s="37">
        <v>62.5</v>
      </c>
      <c r="J19" s="37">
        <f>[16]NTB3Bn!K23</f>
        <v>51.073150684931512</v>
      </c>
      <c r="K19" s="37">
        <v>62.5</v>
      </c>
      <c r="L19" s="37">
        <f>[16]NTB3Bn!K24</f>
        <v>54.97457191780822</v>
      </c>
      <c r="M19" s="37">
        <v>62.5</v>
      </c>
      <c r="N19" s="37">
        <f>[16]NTB3Bn!$K$25</f>
        <v>51.309143835616439</v>
      </c>
      <c r="O19" s="37">
        <v>62.5</v>
      </c>
      <c r="P19" s="37">
        <f>[16]NTB3Bn!$K$26</f>
        <v>40.639726027397259</v>
      </c>
      <c r="Q19" s="37">
        <v>62.5</v>
      </c>
      <c r="R19" s="37">
        <f>[16]NTB3Bn!$K$27</f>
        <v>38.136986301369859</v>
      </c>
      <c r="S19" s="37">
        <v>62.5</v>
      </c>
      <c r="T19" s="37">
        <f>[16]NTB3Bn!$K$28</f>
        <v>37.896438356164388</v>
      </c>
      <c r="U19" s="37">
        <v>62.5</v>
      </c>
      <c r="V19" s="37">
        <f>[16]NTB3Bn!$K$29</f>
        <v>34.142465753424659</v>
      </c>
      <c r="W19" s="37">
        <v>62.5</v>
      </c>
      <c r="X19" s="37">
        <f>[16]NTB3Bn!$K$30</f>
        <v>33.004383561643834</v>
      </c>
      <c r="Y19" s="37">
        <v>62.5</v>
      </c>
      <c r="Z19" s="37">
        <f>[16]NTB3Bn!$K$31</f>
        <v>31.866301369863013</v>
      </c>
      <c r="AA19" s="37">
        <v>62.5</v>
      </c>
      <c r="AB19" s="38">
        <f>[16]NTB3Bn!$K$32</f>
        <v>30.728219178082192</v>
      </c>
      <c r="AC19" s="45" t="s">
        <v>182</v>
      </c>
      <c r="AD19" s="342">
        <v>1062.5</v>
      </c>
      <c r="AE19" s="36">
        <v>875</v>
      </c>
      <c r="AF19" s="39">
        <v>7.802083333333333</v>
      </c>
      <c r="AG19" s="40">
        <v>7.244791666666667</v>
      </c>
      <c r="AH19" s="36">
        <v>6.6875</v>
      </c>
      <c r="AI19" s="132">
        <v>6.130208333333333</v>
      </c>
      <c r="AJ19" s="132">
        <v>5.572916666666667</v>
      </c>
      <c r="AK19" s="41">
        <v>5.015625</v>
      </c>
      <c r="AL19" s="42">
        <v>4.458333333333333</v>
      </c>
      <c r="AM19" s="41">
        <v>3.9010416666666665</v>
      </c>
      <c r="AN19" s="175">
        <v>3.34375</v>
      </c>
      <c r="AO19" s="41">
        <v>2.7864583333333335</v>
      </c>
      <c r="AP19" s="41">
        <v>2.2291666666666665</v>
      </c>
      <c r="AQ19" s="41">
        <v>1.671875</v>
      </c>
      <c r="AR19" s="43">
        <f t="shared" si="0"/>
        <v>56.84375</v>
      </c>
      <c r="AS19" s="43" t="e">
        <f>#REF!</f>
        <v>#REF!</v>
      </c>
      <c r="AT19" s="36"/>
      <c r="AU19" s="310"/>
      <c r="AV19" s="148"/>
    </row>
    <row r="20" spans="1:48" x14ac:dyDescent="0.3">
      <c r="A20" s="36" t="s">
        <v>58</v>
      </c>
      <c r="B20" s="37">
        <v>2000</v>
      </c>
      <c r="C20" s="36" t="s">
        <v>62</v>
      </c>
      <c r="D20" s="37">
        <v>0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>
        <v>111</v>
      </c>
      <c r="T20" s="37">
        <f>'[16]NTB 2Bn'!$K$11</f>
        <v>39.943013698630139</v>
      </c>
      <c r="U20" s="37">
        <v>111</v>
      </c>
      <c r="V20" s="37">
        <f>'[16]NTB 2Bn'!$K$12</f>
        <v>34.395372890967664</v>
      </c>
      <c r="W20" s="37">
        <v>111</v>
      </c>
      <c r="X20" s="37">
        <f>'[16]NTB 2Bn'!$K$13</f>
        <v>31.327853849950685</v>
      </c>
      <c r="Y20" s="37">
        <v>111</v>
      </c>
      <c r="Z20" s="37">
        <f>'[16]NTB 2Bn'!$K$14</f>
        <v>30.34885839893041</v>
      </c>
      <c r="AA20" s="37">
        <v>111</v>
      </c>
      <c r="AB20" s="38">
        <f>'[16]NTB 2Bn'!$K$15</f>
        <v>27.411872083463013</v>
      </c>
      <c r="AC20" s="45" t="s">
        <v>182</v>
      </c>
      <c r="AD20" s="342">
        <v>444.44443200000001</v>
      </c>
      <c r="AE20" s="132">
        <v>111.111096</v>
      </c>
      <c r="AF20" s="39">
        <v>0.99074060600000002</v>
      </c>
      <c r="AG20" s="40">
        <v>0</v>
      </c>
      <c r="AH20" s="132">
        <v>0</v>
      </c>
      <c r="AI20" s="132">
        <v>0</v>
      </c>
      <c r="AJ20" s="132">
        <v>0</v>
      </c>
      <c r="AK20" s="132">
        <v>0</v>
      </c>
      <c r="AL20" s="40">
        <v>0</v>
      </c>
      <c r="AM20" s="132">
        <v>0</v>
      </c>
      <c r="AN20" s="279">
        <v>0</v>
      </c>
      <c r="AO20" s="132">
        <v>0</v>
      </c>
      <c r="AP20" s="132">
        <v>0</v>
      </c>
      <c r="AQ20" s="132">
        <v>0</v>
      </c>
      <c r="AR20" s="43">
        <f t="shared" si="0"/>
        <v>0.99074060600000002</v>
      </c>
      <c r="AS20" s="36"/>
      <c r="AT20" s="36"/>
      <c r="AU20" s="314" t="e">
        <f>#REF!</f>
        <v>#REF!</v>
      </c>
      <c r="AV20" s="148"/>
    </row>
    <row r="21" spans="1:48" x14ac:dyDescent="0.3">
      <c r="A21" s="36" t="s">
        <v>58</v>
      </c>
      <c r="B21" s="37">
        <v>3000</v>
      </c>
      <c r="C21" s="36" t="s">
        <v>63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8"/>
      <c r="AC21" s="45" t="s">
        <v>182</v>
      </c>
      <c r="AD21" s="342">
        <v>1998</v>
      </c>
      <c r="AE21" s="132">
        <v>1497</v>
      </c>
      <c r="AF21" s="39">
        <v>13.34825</v>
      </c>
      <c r="AG21" s="40">
        <v>11.859166666666667</v>
      </c>
      <c r="AH21" s="132">
        <v>10.370083333333334</v>
      </c>
      <c r="AI21" s="132">
        <v>8.8810000000000002</v>
      </c>
      <c r="AJ21" s="132">
        <v>7.3919166666666669</v>
      </c>
      <c r="AK21" s="132">
        <v>5.9028333333333327</v>
      </c>
      <c r="AL21" s="40">
        <v>4.4137500000000003</v>
      </c>
      <c r="AM21" s="132">
        <v>2.9246666666666665</v>
      </c>
      <c r="AN21" s="279">
        <v>1.4355833333333332</v>
      </c>
      <c r="AO21" s="132">
        <v>0</v>
      </c>
      <c r="AP21" s="132">
        <v>0</v>
      </c>
      <c r="AQ21" s="132">
        <v>0</v>
      </c>
      <c r="AR21" s="43">
        <f t="shared" si="0"/>
        <v>66.527249999999995</v>
      </c>
      <c r="AS21" s="36"/>
      <c r="AT21" s="36"/>
      <c r="AU21" s="314"/>
      <c r="AV21" s="148"/>
    </row>
    <row r="22" spans="1:48" s="216" customFormat="1" x14ac:dyDescent="0.3">
      <c r="A22" s="319" t="s">
        <v>58</v>
      </c>
      <c r="B22" s="320">
        <v>1000</v>
      </c>
      <c r="C22" s="319" t="s">
        <v>113</v>
      </c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1"/>
      <c r="AC22" s="322" t="s">
        <v>182</v>
      </c>
      <c r="AD22" s="343">
        <v>832</v>
      </c>
      <c r="AE22" s="323">
        <v>664</v>
      </c>
      <c r="AF22" s="39">
        <v>5.9206666666666674</v>
      </c>
      <c r="AG22" s="39">
        <v>5.4213333333333331</v>
      </c>
      <c r="AH22" s="323">
        <v>4.9219999999999997</v>
      </c>
      <c r="AI22" s="323">
        <v>4.4226666666666672</v>
      </c>
      <c r="AJ22" s="323">
        <v>3.9233333333333333</v>
      </c>
      <c r="AK22" s="323">
        <v>3.4239999999999999</v>
      </c>
      <c r="AL22" s="324">
        <v>2.9246666666666665</v>
      </c>
      <c r="AM22" s="133">
        <v>2.4253333333333336</v>
      </c>
      <c r="AN22" s="325">
        <v>1.9259999999999999</v>
      </c>
      <c r="AO22" s="323">
        <v>1.4266666666666667</v>
      </c>
      <c r="AP22" s="323">
        <v>0.92733333333333334</v>
      </c>
      <c r="AQ22" s="323">
        <v>0.42799999999999999</v>
      </c>
      <c r="AR22" s="326">
        <f t="shared" si="0"/>
        <v>38.091999999999999</v>
      </c>
      <c r="AS22" s="319"/>
      <c r="AT22" s="319"/>
      <c r="AU22" s="327"/>
      <c r="AV22" s="147"/>
    </row>
    <row r="23" spans="1:48" x14ac:dyDescent="0.3">
      <c r="A23" s="36"/>
      <c r="B23" s="37"/>
      <c r="C23" s="3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8"/>
      <c r="AC23" s="38"/>
      <c r="AD23" s="38"/>
      <c r="AE23" s="38"/>
      <c r="AF23" s="39"/>
      <c r="AG23" s="40"/>
      <c r="AH23" s="38"/>
      <c r="AI23" s="38"/>
      <c r="AJ23" s="38"/>
      <c r="AK23" s="44"/>
      <c r="AL23" s="44"/>
      <c r="AM23" s="42"/>
      <c r="AN23" s="176"/>
      <c r="AO23" s="44"/>
      <c r="AP23" s="44"/>
      <c r="AQ23" s="44"/>
      <c r="AR23" s="43">
        <f t="shared" si="0"/>
        <v>0</v>
      </c>
      <c r="AS23" s="36"/>
      <c r="AT23" s="36"/>
      <c r="AU23" s="310"/>
      <c r="AV23" s="148"/>
    </row>
    <row r="24" spans="1:48" x14ac:dyDescent="0.3">
      <c r="A24" s="36" t="s">
        <v>64</v>
      </c>
      <c r="B24" s="37">
        <v>2000</v>
      </c>
      <c r="C24" s="36" t="s">
        <v>65</v>
      </c>
      <c r="D24" s="37">
        <v>1648</v>
      </c>
      <c r="E24" s="37">
        <v>28</v>
      </c>
      <c r="F24" s="37">
        <f>'[16]Seylan 2Bn'!$K$54</f>
        <v>32.995618630136981</v>
      </c>
      <c r="G24" s="37">
        <v>28</v>
      </c>
      <c r="H24" s="37">
        <f>'[16]Seylan 2Bn'!$K$55</f>
        <v>32.444379178082194</v>
      </c>
      <c r="I24" s="37">
        <v>30</v>
      </c>
      <c r="J24" s="37">
        <f>'[16]Seylan 2Bn'!$K$56</f>
        <v>28.806706849315066</v>
      </c>
      <c r="K24" s="37">
        <v>30</v>
      </c>
      <c r="L24" s="37">
        <f>'[16]Seylan 2Bn'!$K$57</f>
        <v>31.30252602739726</v>
      </c>
      <c r="M24" s="37">
        <v>30</v>
      </c>
      <c r="N24" s="37">
        <f>'[16]Seylan 2Bn'!$K$58+'[16]Seylan 2Bn'!K59</f>
        <v>35.369687671232882</v>
      </c>
      <c r="O24" s="37">
        <v>30</v>
      </c>
      <c r="P24" s="37">
        <f>'[16]Seylan 2Bn'!$K$60</f>
        <v>36.254712328767127</v>
      </c>
      <c r="Q24" s="37">
        <v>33</v>
      </c>
      <c r="R24" s="37">
        <f>'[16]Seylan 2Bn'!$K$61</f>
        <v>34.397260273972606</v>
      </c>
      <c r="S24" s="37">
        <v>33</v>
      </c>
      <c r="T24" s="37">
        <f>'[16]Seylan 2Bn'!$K$62</f>
        <v>34.761871232876715</v>
      </c>
      <c r="U24" s="37">
        <v>33</v>
      </c>
      <c r="V24" s="37">
        <f>'[16]Seylan 2Bn'!$K$63</f>
        <v>33.979906849315078</v>
      </c>
      <c r="W24" s="37">
        <v>33</v>
      </c>
      <c r="X24" s="37">
        <f>'[16]Seylan 2Bn'!$K$64</f>
        <v>33.197942465753435</v>
      </c>
      <c r="Y24" s="37">
        <v>36</v>
      </c>
      <c r="Z24" s="37">
        <f>'[16]Seylan 2Bn'!$K$65</f>
        <v>26.931984657534247</v>
      </c>
      <c r="AA24" s="37">
        <v>36</v>
      </c>
      <c r="AB24" s="38">
        <f>'[16]Seylan 2Bn'!$K$66</f>
        <v>26.223248219178085</v>
      </c>
      <c r="AC24" s="45" t="s">
        <v>181</v>
      </c>
      <c r="AD24" s="165">
        <v>855</v>
      </c>
      <c r="AE24" s="40">
        <v>666</v>
      </c>
      <c r="AF24" s="39">
        <v>6.2714999999999996</v>
      </c>
      <c r="AG24" s="40">
        <v>5.6782500000000002</v>
      </c>
      <c r="AH24" s="40">
        <v>5.0473333333333334</v>
      </c>
      <c r="AI24" s="40">
        <v>4.4164166666666667</v>
      </c>
      <c r="AJ24" s="40">
        <v>3.7854999999999999</v>
      </c>
      <c r="AK24" s="42">
        <v>3.1545833333333335</v>
      </c>
      <c r="AL24" s="42">
        <v>2.5236666666666667</v>
      </c>
      <c r="AM24" s="42">
        <v>1.8927499999999999</v>
      </c>
      <c r="AN24" s="177">
        <v>1.2618333333333334</v>
      </c>
      <c r="AO24" s="42">
        <v>0.63091666666666668</v>
      </c>
      <c r="AP24" s="42">
        <v>0</v>
      </c>
      <c r="AQ24" s="42">
        <v>0</v>
      </c>
      <c r="AR24" s="43">
        <f t="shared" si="0"/>
        <v>34.662750000000003</v>
      </c>
      <c r="AS24" s="43" t="e">
        <f>#REF!/2</f>
        <v>#REF!</v>
      </c>
      <c r="AT24" s="43" t="e">
        <f>#REF!/2</f>
        <v>#REF!</v>
      </c>
      <c r="AU24" s="310"/>
      <c r="AV24" s="148"/>
    </row>
    <row r="25" spans="1:48" x14ac:dyDescent="0.3">
      <c r="A25" s="36" t="s">
        <v>64</v>
      </c>
      <c r="B25" s="37">
        <v>2000</v>
      </c>
      <c r="C25" s="36" t="s">
        <v>66</v>
      </c>
      <c r="D25" s="37">
        <v>0</v>
      </c>
      <c r="E25" s="37"/>
      <c r="F25" s="37"/>
      <c r="G25" s="37"/>
      <c r="H25" s="37"/>
      <c r="I25" s="37"/>
      <c r="J25" s="37"/>
      <c r="K25" s="37">
        <v>0</v>
      </c>
      <c r="L25" s="37">
        <f>'[16]Seylan 2Bn new'!$J$10</f>
        <v>24.880547945205478</v>
      </c>
      <c r="M25" s="37">
        <v>0</v>
      </c>
      <c r="N25" s="37">
        <f>'[16]Seylan 2Bn new'!$J$11</f>
        <v>41.899178082191781</v>
      </c>
      <c r="O25" s="37">
        <v>0</v>
      </c>
      <c r="P25" s="37">
        <f>'[16]Seylan 2Bn new'!$J$12</f>
        <v>40.90301369863014</v>
      </c>
      <c r="Q25" s="37">
        <v>0</v>
      </c>
      <c r="R25" s="37">
        <f>'[16]Seylan 2Bn new'!$J$13</f>
        <v>38.255342465753422</v>
      </c>
      <c r="S25" s="37">
        <v>0</v>
      </c>
      <c r="T25" s="37">
        <f>'[16]Seylan 2Bn new'!$J$14</f>
        <v>38.028493150684923</v>
      </c>
      <c r="U25" s="37">
        <v>0</v>
      </c>
      <c r="V25" s="37">
        <f>'[16]Seylan 2Bn new'!$J$15</f>
        <v>37.437808219178081</v>
      </c>
      <c r="W25" s="37">
        <v>0</v>
      </c>
      <c r="X25" s="37">
        <f>'[16]Seylan 2Bn new'!$J$16</f>
        <v>37.437808219178081</v>
      </c>
      <c r="Y25" s="37">
        <v>0</v>
      </c>
      <c r="Z25" s="37">
        <f>'[16]Seylan 2Bn new'!$J$17</f>
        <v>37.437808219178081</v>
      </c>
      <c r="AA25" s="37">
        <v>0</v>
      </c>
      <c r="AB25" s="38">
        <f>'[16]Seylan 2Bn new'!$J$17</f>
        <v>37.437808219178081</v>
      </c>
      <c r="AC25" s="36" t="s">
        <v>181</v>
      </c>
      <c r="AD25" s="165">
        <v>1750.000004</v>
      </c>
      <c r="AE25" s="132">
        <v>1625.000006</v>
      </c>
      <c r="AF25" s="39">
        <v>15.302083389833333</v>
      </c>
      <c r="AG25" s="40">
        <v>14.909722285000003</v>
      </c>
      <c r="AH25" s="132">
        <v>14.517361180166667</v>
      </c>
      <c r="AI25" s="132">
        <v>14.125000075333334</v>
      </c>
      <c r="AJ25" s="132">
        <v>13.7326389705</v>
      </c>
      <c r="AK25" s="132">
        <v>13.340277865666668</v>
      </c>
      <c r="AL25" s="40">
        <v>12.947916760833332</v>
      </c>
      <c r="AM25" s="132">
        <v>12.555555656000001</v>
      </c>
      <c r="AN25" s="279">
        <v>12.163194551166667</v>
      </c>
      <c r="AO25" s="132">
        <v>11.770833446333334</v>
      </c>
      <c r="AP25" s="132">
        <v>11.378472341499998</v>
      </c>
      <c r="AQ25" s="132">
        <v>10.986111236666666</v>
      </c>
      <c r="AR25" s="43">
        <f t="shared" si="0"/>
        <v>157.72916775899998</v>
      </c>
      <c r="AS25" s="36"/>
      <c r="AT25" s="36"/>
      <c r="AU25" s="314" t="e">
        <f>#REF!</f>
        <v>#REF!</v>
      </c>
      <c r="AV25" s="148"/>
    </row>
    <row r="26" spans="1:48" x14ac:dyDescent="0.3">
      <c r="A26" s="36"/>
      <c r="B26" s="37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8"/>
      <c r="AC26" s="310"/>
      <c r="AD26" s="311"/>
      <c r="AE26" s="131"/>
      <c r="AF26" s="39"/>
      <c r="AG26" s="40"/>
      <c r="AH26" s="131"/>
      <c r="AI26" s="131"/>
      <c r="AJ26" s="131"/>
      <c r="AK26" s="131"/>
      <c r="AL26" s="311"/>
      <c r="AM26" s="132"/>
      <c r="AN26" s="312"/>
      <c r="AO26" s="131"/>
      <c r="AP26" s="131"/>
      <c r="AQ26" s="131"/>
      <c r="AR26" s="43">
        <f t="shared" si="0"/>
        <v>0</v>
      </c>
      <c r="AS26" s="36"/>
      <c r="AT26" s="36"/>
      <c r="AU26" s="314"/>
      <c r="AV26" s="148"/>
    </row>
    <row r="27" spans="1:48" s="216" customFormat="1" x14ac:dyDescent="0.3">
      <c r="A27" s="332" t="s">
        <v>67</v>
      </c>
      <c r="B27" s="320"/>
      <c r="C27" s="319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20"/>
      <c r="AB27" s="320"/>
      <c r="AC27" s="320"/>
      <c r="AD27" s="334">
        <f t="shared" ref="AD27:AQ27" si="1">SUM(AD7:AD26)</f>
        <v>69576.284711769986</v>
      </c>
      <c r="AE27" s="334">
        <f t="shared" si="1"/>
        <v>62892.944435320002</v>
      </c>
      <c r="AF27" s="334">
        <f t="shared" si="1"/>
        <v>565.68951844014668</v>
      </c>
      <c r="AG27" s="334">
        <f t="shared" si="1"/>
        <v>550.24045839598011</v>
      </c>
      <c r="AH27" s="334">
        <f t="shared" si="1"/>
        <v>536.33447229114654</v>
      </c>
      <c r="AI27" s="334">
        <f t="shared" si="1"/>
        <v>512.60990285317678</v>
      </c>
      <c r="AJ27" s="334">
        <f t="shared" si="1"/>
        <v>498.39608341501008</v>
      </c>
      <c r="AK27" s="335">
        <f t="shared" si="1"/>
        <v>700.18226397684327</v>
      </c>
      <c r="AL27" s="335">
        <f t="shared" si="1"/>
        <v>459.52052787200995</v>
      </c>
      <c r="AM27" s="335">
        <f t="shared" si="1"/>
        <v>445.30670843384343</v>
      </c>
      <c r="AN27" s="336">
        <f t="shared" si="1"/>
        <v>431.09288899567667</v>
      </c>
      <c r="AO27" s="335">
        <f t="shared" si="1"/>
        <v>406.07065289084335</v>
      </c>
      <c r="AP27" s="335">
        <f t="shared" si="1"/>
        <v>393.19291678601002</v>
      </c>
      <c r="AQ27" s="335">
        <f t="shared" si="1"/>
        <v>569.94609734784331</v>
      </c>
      <c r="AR27" s="337">
        <f t="shared" ref="AR27" si="2">AF27+AG27+AH27+AI27+AJ27+AK27+AL27+AM27+AN27+AO27+AP27+AQ27</f>
        <v>6068.5824916985302</v>
      </c>
      <c r="AS27" s="337" t="e">
        <f>SUM(AS7:AS26)</f>
        <v>#REF!</v>
      </c>
      <c r="AT27" s="337" t="e">
        <f>SUM(AT7:AT26)</f>
        <v>#REF!</v>
      </c>
      <c r="AU27" s="338" t="e">
        <f>SUM(AU7:AU26)</f>
        <v>#REF!</v>
      </c>
      <c r="AV27" s="339"/>
    </row>
    <row r="28" spans="1:48" x14ac:dyDescent="0.3">
      <c r="AF28" s="23"/>
      <c r="AG28" s="23"/>
      <c r="AH28" s="23"/>
      <c r="AI28" s="23"/>
      <c r="AJ28" s="23"/>
    </row>
    <row r="30" spans="1:48" x14ac:dyDescent="0.3">
      <c r="A30" s="14"/>
    </row>
    <row r="31" spans="1:48" s="15" customFormat="1" x14ac:dyDescent="0.3">
      <c r="A31" s="16"/>
      <c r="C31" s="16"/>
      <c r="AS31" s="16"/>
      <c r="AT31" s="16"/>
      <c r="AU31" s="16"/>
      <c r="AV31" s="16"/>
    </row>
  </sheetData>
  <mergeCells count="35">
    <mergeCell ref="AR4:AR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F4:AQ4"/>
    <mergeCell ref="Y4:Z4"/>
    <mergeCell ref="AA4:AB4"/>
    <mergeCell ref="AC4:AC6"/>
    <mergeCell ref="AD4:AD6"/>
    <mergeCell ref="AE4:AE6"/>
    <mergeCell ref="W4:X4"/>
    <mergeCell ref="A3:AB3"/>
    <mergeCell ref="AS3:AU3"/>
    <mergeCell ref="A4:A6"/>
    <mergeCell ref="B4:B6"/>
    <mergeCell ref="C4:C6"/>
    <mergeCell ref="D4:D6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ageMargins left="0.28000000000000003" right="0.21" top="0.75" bottom="0.75" header="0.3" footer="0.3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B88B3-866C-4631-9FA5-4F96CA169229}">
  <sheetPr>
    <pageSetUpPr fitToPage="1"/>
  </sheetPr>
  <dimension ref="A1:AH50"/>
  <sheetViews>
    <sheetView topLeftCell="A31" workbookViewId="0">
      <selection activeCell="C46" sqref="C46"/>
    </sheetView>
  </sheetViews>
  <sheetFormatPr defaultColWidth="9.1796875" defaultRowHeight="14" x14ac:dyDescent="0.3"/>
  <cols>
    <col min="1" max="1" width="52.453125" style="16" customWidth="1"/>
    <col min="2" max="2" width="17.54296875" style="16" customWidth="1"/>
    <col min="3" max="3" width="16.7265625" style="16" customWidth="1"/>
    <col min="4" max="4" width="18.54296875" style="16" customWidth="1"/>
    <col min="5" max="5" width="16.7265625" style="16" customWidth="1"/>
    <col min="6" max="6" width="17" style="16" customWidth="1"/>
    <col min="7" max="9" width="16.453125" style="16" bestFit="1" customWidth="1"/>
    <col min="10" max="10" width="16.81640625" style="16" bestFit="1" customWidth="1"/>
    <col min="11" max="11" width="18.7265625" style="16" bestFit="1" customWidth="1"/>
    <col min="12" max="12" width="16.81640625" style="16" bestFit="1" customWidth="1"/>
    <col min="13" max="13" width="18.7265625" style="16" bestFit="1" customWidth="1"/>
    <col min="14" max="14" width="16.81640625" style="16" bestFit="1" customWidth="1"/>
    <col min="15" max="15" width="18.7265625" style="16" bestFit="1" customWidth="1"/>
    <col min="16" max="23" width="16.453125" style="16" bestFit="1" customWidth="1"/>
    <col min="24" max="24" width="14.54296875" style="16" bestFit="1" customWidth="1"/>
    <col min="25" max="25" width="16.453125" style="16" bestFit="1" customWidth="1"/>
    <col min="26" max="26" width="14.54296875" style="16" bestFit="1" customWidth="1"/>
    <col min="27" max="27" width="16.453125" style="16" bestFit="1" customWidth="1"/>
    <col min="28" max="28" width="15" style="16" bestFit="1" customWidth="1"/>
    <col min="29" max="29" width="16.26953125" style="16" customWidth="1"/>
    <col min="30" max="30" width="16.453125" style="16" customWidth="1"/>
    <col min="31" max="31" width="18.7265625" style="16" bestFit="1" customWidth="1"/>
    <col min="32" max="32" width="19" style="16" customWidth="1"/>
    <col min="33" max="33" width="17" style="16" bestFit="1" customWidth="1"/>
    <col min="34" max="34" width="16.453125" style="16" bestFit="1" customWidth="1"/>
    <col min="35" max="16384" width="9.1796875" style="16"/>
  </cols>
  <sheetData>
    <row r="1" spans="1:34" hidden="1" x14ac:dyDescent="0.3"/>
    <row r="2" spans="1:34" hidden="1" x14ac:dyDescent="0.3">
      <c r="A2" s="383" t="s">
        <v>190</v>
      </c>
      <c r="B2" s="406" t="s">
        <v>191</v>
      </c>
      <c r="C2" s="398"/>
      <c r="D2" s="398" t="s">
        <v>192</v>
      </c>
      <c r="E2" s="407" t="s">
        <v>193</v>
      </c>
      <c r="F2" s="408"/>
      <c r="G2" s="408"/>
      <c r="H2" s="416"/>
      <c r="I2" s="47"/>
      <c r="J2" s="47"/>
      <c r="K2" s="47"/>
      <c r="L2" s="47"/>
      <c r="M2" s="47"/>
      <c r="N2" s="47"/>
      <c r="O2" s="47"/>
      <c r="P2" s="47"/>
      <c r="Q2" s="413"/>
      <c r="R2" s="414"/>
      <c r="S2" s="413"/>
      <c r="T2" s="414"/>
      <c r="U2" s="413"/>
      <c r="V2" s="414"/>
      <c r="W2" s="413"/>
      <c r="X2" s="414"/>
      <c r="Y2" s="413"/>
      <c r="Z2" s="414"/>
      <c r="AA2" s="413"/>
      <c r="AB2" s="414"/>
      <c r="AC2" s="344"/>
      <c r="AD2" s="344"/>
      <c r="AE2" s="395" t="s">
        <v>19</v>
      </c>
      <c r="AF2" s="397"/>
    </row>
    <row r="3" spans="1:34" hidden="1" x14ac:dyDescent="0.3">
      <c r="A3" s="383"/>
      <c r="B3" s="406"/>
      <c r="C3" s="399"/>
      <c r="D3" s="399"/>
      <c r="E3" s="383">
        <v>2024</v>
      </c>
      <c r="F3" s="383"/>
      <c r="G3" s="383">
        <v>2025</v>
      </c>
      <c r="H3" s="383"/>
      <c r="I3" s="383">
        <v>2026</v>
      </c>
      <c r="J3" s="383"/>
      <c r="K3" s="383">
        <v>2027</v>
      </c>
      <c r="L3" s="383"/>
      <c r="M3" s="383">
        <v>2028</v>
      </c>
      <c r="N3" s="383"/>
      <c r="O3" s="383">
        <v>2029</v>
      </c>
      <c r="P3" s="383"/>
      <c r="Q3" s="383">
        <v>2030</v>
      </c>
      <c r="R3" s="383"/>
      <c r="S3" s="383">
        <v>2031</v>
      </c>
      <c r="T3" s="383"/>
      <c r="U3" s="383">
        <v>2032</v>
      </c>
      <c r="V3" s="383"/>
      <c r="W3" s="383">
        <v>2033</v>
      </c>
      <c r="X3" s="383"/>
      <c r="Y3" s="383">
        <v>2034</v>
      </c>
      <c r="Z3" s="383"/>
      <c r="AA3" s="383">
        <v>2035</v>
      </c>
      <c r="AB3" s="383"/>
      <c r="AC3" s="383">
        <v>2041</v>
      </c>
      <c r="AD3" s="383"/>
      <c r="AE3" s="383"/>
      <c r="AF3" s="383"/>
    </row>
    <row r="4" spans="1:34" hidden="1" x14ac:dyDescent="0.3">
      <c r="A4" s="383"/>
      <c r="B4" s="406"/>
      <c r="C4" s="415"/>
      <c r="D4" s="415"/>
      <c r="E4" s="340" t="s">
        <v>37</v>
      </c>
      <c r="F4" s="340" t="s">
        <v>38</v>
      </c>
      <c r="G4" s="340" t="s">
        <v>37</v>
      </c>
      <c r="H4" s="340" t="s">
        <v>38</v>
      </c>
      <c r="I4" s="340" t="s">
        <v>37</v>
      </c>
      <c r="J4" s="340" t="s">
        <v>38</v>
      </c>
      <c r="K4" s="340" t="s">
        <v>37</v>
      </c>
      <c r="L4" s="340" t="s">
        <v>38</v>
      </c>
      <c r="M4" s="340" t="s">
        <v>37</v>
      </c>
      <c r="N4" s="340" t="s">
        <v>38</v>
      </c>
      <c r="O4" s="340" t="s">
        <v>37</v>
      </c>
      <c r="P4" s="340" t="s">
        <v>38</v>
      </c>
      <c r="Q4" s="340" t="s">
        <v>37</v>
      </c>
      <c r="R4" s="340" t="s">
        <v>38</v>
      </c>
      <c r="S4" s="340" t="s">
        <v>37</v>
      </c>
      <c r="T4" s="340" t="s">
        <v>38</v>
      </c>
      <c r="U4" s="340" t="s">
        <v>37</v>
      </c>
      <c r="V4" s="340" t="s">
        <v>38</v>
      </c>
      <c r="W4" s="340" t="s">
        <v>37</v>
      </c>
      <c r="X4" s="340" t="s">
        <v>38</v>
      </c>
      <c r="Y4" s="340" t="s">
        <v>37</v>
      </c>
      <c r="Z4" s="340" t="s">
        <v>38</v>
      </c>
      <c r="AA4" s="340" t="s">
        <v>37</v>
      </c>
      <c r="AB4" s="340" t="s">
        <v>38</v>
      </c>
      <c r="AC4" s="340" t="s">
        <v>37</v>
      </c>
      <c r="AD4" s="340" t="s">
        <v>38</v>
      </c>
      <c r="AE4" s="340" t="s">
        <v>37</v>
      </c>
      <c r="AF4" s="340" t="s">
        <v>38</v>
      </c>
    </row>
    <row r="5" spans="1:34" ht="15" hidden="1" customHeight="1" x14ac:dyDescent="0.3">
      <c r="A5" s="383"/>
      <c r="B5" s="406"/>
      <c r="C5" s="340"/>
      <c r="D5" s="340"/>
      <c r="E5" s="340" t="s">
        <v>194</v>
      </c>
      <c r="F5" s="340" t="s">
        <v>194</v>
      </c>
      <c r="G5" s="340" t="s">
        <v>194</v>
      </c>
      <c r="H5" s="340" t="s">
        <v>194</v>
      </c>
      <c r="I5" s="340" t="s">
        <v>194</v>
      </c>
      <c r="J5" s="340" t="s">
        <v>194</v>
      </c>
      <c r="K5" s="340" t="s">
        <v>194</v>
      </c>
      <c r="L5" s="340" t="s">
        <v>194</v>
      </c>
      <c r="M5" s="340" t="s">
        <v>194</v>
      </c>
      <c r="N5" s="340" t="s">
        <v>194</v>
      </c>
      <c r="O5" s="340" t="s">
        <v>194</v>
      </c>
      <c r="P5" s="340" t="s">
        <v>194</v>
      </c>
      <c r="Q5" s="340" t="s">
        <v>194</v>
      </c>
      <c r="R5" s="340" t="s">
        <v>194</v>
      </c>
      <c r="S5" s="340" t="s">
        <v>194</v>
      </c>
      <c r="T5" s="340" t="s">
        <v>194</v>
      </c>
      <c r="U5" s="340" t="s">
        <v>194</v>
      </c>
      <c r="V5" s="340" t="s">
        <v>194</v>
      </c>
      <c r="W5" s="340" t="s">
        <v>194</v>
      </c>
      <c r="X5" s="340" t="s">
        <v>194</v>
      </c>
      <c r="Y5" s="340" t="s">
        <v>194</v>
      </c>
      <c r="Z5" s="340" t="s">
        <v>194</v>
      </c>
      <c r="AA5" s="340" t="s">
        <v>194</v>
      </c>
      <c r="AB5" s="340" t="s">
        <v>194</v>
      </c>
      <c r="AC5" s="340"/>
      <c r="AD5" s="340"/>
      <c r="AE5" s="340" t="s">
        <v>194</v>
      </c>
      <c r="AF5" s="340" t="s">
        <v>194</v>
      </c>
    </row>
    <row r="6" spans="1:34" hidden="1" x14ac:dyDescent="0.3">
      <c r="A6" s="345" t="s">
        <v>195</v>
      </c>
      <c r="B6" s="346" t="s">
        <v>196</v>
      </c>
      <c r="C6" s="346"/>
      <c r="D6" s="346">
        <v>84253204.549999997</v>
      </c>
      <c r="E6" s="347">
        <v>2407234.4157142858</v>
      </c>
      <c r="F6" s="347">
        <v>2557927.2901379997</v>
      </c>
      <c r="G6" s="347">
        <v>4814468.8314285716</v>
      </c>
      <c r="H6" s="347">
        <v>4856089.9144762717</v>
      </c>
      <c r="I6" s="347">
        <v>4814468.8314285716</v>
      </c>
      <c r="J6" s="347">
        <v>4566138.5291034859</v>
      </c>
      <c r="K6" s="347">
        <v>4814468.8314285716</v>
      </c>
      <c r="L6" s="347">
        <v>4276187.1437307019</v>
      </c>
      <c r="M6" s="347">
        <v>4814468.8314285716</v>
      </c>
      <c r="N6" s="347">
        <v>3997357.1813585171</v>
      </c>
      <c r="O6" s="347">
        <v>4814468.8314285716</v>
      </c>
      <c r="P6" s="347">
        <v>3696284.3729851311</v>
      </c>
      <c r="Q6" s="347">
        <v>4814468.8314285716</v>
      </c>
      <c r="R6" s="347">
        <v>3406332.9876123453</v>
      </c>
      <c r="S6" s="347">
        <v>4814468.8314285716</v>
      </c>
      <c r="T6" s="347">
        <v>3116381.6022395594</v>
      </c>
      <c r="U6" s="347">
        <v>4814468.8314285716</v>
      </c>
      <c r="V6" s="347">
        <v>2834374.0904386309</v>
      </c>
      <c r="W6" s="347">
        <v>4814468.8314285716</v>
      </c>
      <c r="X6" s="347">
        <v>2536478.8314939877</v>
      </c>
      <c r="Y6" s="347">
        <v>4814468.8314285716</v>
      </c>
      <c r="Z6" s="347">
        <v>2246527.4461212023</v>
      </c>
      <c r="AA6" s="347">
        <v>4814468.8314285716</v>
      </c>
      <c r="AB6" s="347">
        <v>1956576.0607484165</v>
      </c>
      <c r="AC6" s="347">
        <v>4814468.8314285716</v>
      </c>
      <c r="AD6" s="347">
        <v>216867.74851170182</v>
      </c>
      <c r="AE6" s="347" t="e">
        <f>+E6+G6+I6+K6+M6+O6+Q6+S6+U6+W6+Y6+AA6+#REF!+#REF!+#REF!+#REF!+#REF!+AC6</f>
        <v>#REF!</v>
      </c>
      <c r="AF6" s="347" t="e">
        <f>+F6+H6+J6+L6+N6+P6+R6+T6+V6+X6+Z6+AB6+#REF!+#REF!+#REF!+#REF!+#REF!+AD6</f>
        <v>#REF!</v>
      </c>
      <c r="AG6" s="146" t="e">
        <f t="shared" ref="AG6:AG11" si="0">+AE6-D6</f>
        <v>#REF!</v>
      </c>
      <c r="AH6" s="146">
        <v>0</v>
      </c>
    </row>
    <row r="7" spans="1:34" hidden="1" x14ac:dyDescent="0.3">
      <c r="A7" s="345" t="s">
        <v>197</v>
      </c>
      <c r="B7" s="346" t="s">
        <v>196</v>
      </c>
      <c r="C7" s="346"/>
      <c r="D7" s="346">
        <v>40973287.140000001</v>
      </c>
      <c r="E7" s="347">
        <v>1375000</v>
      </c>
      <c r="F7" s="347">
        <v>418838.04631999996</v>
      </c>
      <c r="G7" s="347">
        <v>2750000</v>
      </c>
      <c r="H7" s="347">
        <v>788909.71144999994</v>
      </c>
      <c r="I7" s="347">
        <v>2750000</v>
      </c>
      <c r="J7" s="347">
        <v>733145.82256111107</v>
      </c>
      <c r="K7" s="347">
        <v>2750000</v>
      </c>
      <c r="L7" s="347">
        <v>677381.93367222219</v>
      </c>
      <c r="M7" s="347">
        <v>2750000</v>
      </c>
      <c r="N7" s="347">
        <v>623359.6162911111</v>
      </c>
      <c r="O7" s="347">
        <v>2750000</v>
      </c>
      <c r="P7" s="347">
        <v>565854.15589444456</v>
      </c>
      <c r="Q7" s="347">
        <v>2750000</v>
      </c>
      <c r="R7" s="347">
        <v>510090.26700555556</v>
      </c>
      <c r="S7" s="347">
        <v>2750000</v>
      </c>
      <c r="T7" s="347">
        <v>454326.37811666669</v>
      </c>
      <c r="U7" s="347">
        <v>2750000</v>
      </c>
      <c r="V7" s="347">
        <v>398562.48922777775</v>
      </c>
      <c r="W7" s="347">
        <v>2750000</v>
      </c>
      <c r="X7" s="347">
        <v>345731.64819555555</v>
      </c>
      <c r="Y7" s="347">
        <v>2750000</v>
      </c>
      <c r="Z7" s="347">
        <v>289509.42597333336</v>
      </c>
      <c r="AA7" s="347">
        <v>2750000</v>
      </c>
      <c r="AB7" s="347">
        <v>233287.20375111111</v>
      </c>
      <c r="AC7" s="347"/>
      <c r="AD7" s="347"/>
      <c r="AE7" s="347" t="e">
        <f>+E7+G7+I7+K7+M7+O7+Q7+S7+U7+W7+Y7+AA7+#REF!+#REF!+#REF!+#REF!+#REF!+AC7</f>
        <v>#REF!</v>
      </c>
      <c r="AF7" s="347" t="e">
        <f>+F7+H7+J7+L7+N7+P7+R7+T7+V7+X7+Z7+AB7+#REF!+#REF!+#REF!+#REF!+#REF!+AD7</f>
        <v>#REF!</v>
      </c>
      <c r="AG7" s="146" t="e">
        <f t="shared" si="0"/>
        <v>#REF!</v>
      </c>
      <c r="AH7" s="146">
        <v>0</v>
      </c>
    </row>
    <row r="8" spans="1:34" hidden="1" x14ac:dyDescent="0.3">
      <c r="A8" s="345" t="s">
        <v>198</v>
      </c>
      <c r="B8" s="346" t="s">
        <v>196</v>
      </c>
      <c r="C8" s="346"/>
      <c r="D8" s="346">
        <v>64563447.229999997</v>
      </c>
      <c r="E8" s="348">
        <v>1898924.9185294115</v>
      </c>
      <c r="F8" s="347">
        <v>1960146.2579027996</v>
      </c>
      <c r="G8" s="348">
        <v>3797849.8370588231</v>
      </c>
      <c r="H8" s="347">
        <v>3716319.4956817627</v>
      </c>
      <c r="I8" s="348">
        <v>3797849.8370588231</v>
      </c>
      <c r="J8" s="347">
        <v>3487593.9892448951</v>
      </c>
      <c r="K8" s="348">
        <v>3797849.8370588231</v>
      </c>
      <c r="L8" s="347">
        <v>3258868.4828080274</v>
      </c>
      <c r="M8" s="348">
        <v>3797849.8370588231</v>
      </c>
      <c r="N8" s="347">
        <v>3038602.6868832074</v>
      </c>
      <c r="O8" s="348">
        <v>3797849.8370588231</v>
      </c>
      <c r="P8" s="347">
        <v>2801417.4699342907</v>
      </c>
      <c r="Q8" s="348">
        <v>3797849.8370588231</v>
      </c>
      <c r="R8" s="347">
        <v>2572691.9634974236</v>
      </c>
      <c r="S8" s="348">
        <v>3797849.8370588231</v>
      </c>
      <c r="T8" s="347">
        <v>2343966.4570605555</v>
      </c>
      <c r="U8" s="348">
        <v>3797849.8370588231</v>
      </c>
      <c r="V8" s="347">
        <v>2121194.0802432774</v>
      </c>
      <c r="W8" s="348">
        <v>3797849.8370588231</v>
      </c>
      <c r="X8" s="347">
        <v>1886515.4441868202</v>
      </c>
      <c r="Y8" s="348">
        <v>3797849.8370588231</v>
      </c>
      <c r="Z8" s="347">
        <v>1657789.9377499525</v>
      </c>
      <c r="AA8" s="348">
        <v>3797849.8370588231</v>
      </c>
      <c r="AB8" s="347">
        <v>1429064.4313130851</v>
      </c>
      <c r="AC8" s="347">
        <v>1898924.9185293952</v>
      </c>
      <c r="AD8" s="347">
        <v>56711.392691880385</v>
      </c>
      <c r="AE8" s="347" t="e">
        <f>+E8+G8+I8+K8+M8+O8+Q8+S8+U8+W8+Y8+AA8+#REF!+#REF!+#REF!+#REF!+#REF!+AC8</f>
        <v>#REF!</v>
      </c>
      <c r="AF8" s="347" t="e">
        <f>+F8+H8+J8+L8+N8+P8+R8+T8+V8+X8+Z8+AB8+#REF!+#REF!+#REF!+#REF!+#REF!+AD8</f>
        <v>#REF!</v>
      </c>
      <c r="AG8" s="146" t="e">
        <f t="shared" si="0"/>
        <v>#REF!</v>
      </c>
      <c r="AH8" s="146">
        <v>0</v>
      </c>
    </row>
    <row r="9" spans="1:34" hidden="1" x14ac:dyDescent="0.3">
      <c r="A9" s="345" t="s">
        <v>199</v>
      </c>
      <c r="B9" s="346" t="s">
        <v>196</v>
      </c>
      <c r="C9" s="346"/>
      <c r="D9" s="346">
        <v>133012660.83000001</v>
      </c>
      <c r="E9" s="348">
        <v>4926394.845555556</v>
      </c>
      <c r="F9" s="347">
        <v>3970280.1339301341</v>
      </c>
      <c r="G9" s="348">
        <v>9852789.691111112</v>
      </c>
      <c r="H9" s="347">
        <v>7437082.7146444898</v>
      </c>
      <c r="I9" s="348">
        <v>9852789.691111112</v>
      </c>
      <c r="J9" s="347">
        <v>6853688.0894897003</v>
      </c>
      <c r="K9" s="348">
        <v>9852789.691111112</v>
      </c>
      <c r="L9" s="347">
        <v>6270293.4643349089</v>
      </c>
      <c r="M9" s="348">
        <v>9852789.691111112</v>
      </c>
      <c r="N9" s="347">
        <v>5702882.2535679201</v>
      </c>
      <c r="O9" s="348">
        <v>9852789.691111112</v>
      </c>
      <c r="P9" s="347">
        <v>5103504.2140253279</v>
      </c>
      <c r="Q9" s="348">
        <v>9852789.691111112</v>
      </c>
      <c r="R9" s="347">
        <v>4520109.5888705365</v>
      </c>
      <c r="S9" s="348">
        <v>9852789.691111112</v>
      </c>
      <c r="T9" s="347">
        <v>3936714.9637157465</v>
      </c>
      <c r="U9" s="348">
        <v>9852789.691111112</v>
      </c>
      <c r="V9" s="347">
        <v>3362910.387193637</v>
      </c>
      <c r="W9" s="348">
        <v>9852789.691111112</v>
      </c>
      <c r="X9" s="347">
        <v>2769925.7134061651</v>
      </c>
      <c r="Y9" s="348">
        <v>9852789.691111112</v>
      </c>
      <c r="Z9" s="347">
        <v>2186531.0882513751</v>
      </c>
      <c r="AA9" s="348">
        <v>9852789.691111112</v>
      </c>
      <c r="AB9" s="347">
        <v>1603136.4630965847</v>
      </c>
      <c r="AC9" s="347"/>
      <c r="AD9" s="347"/>
      <c r="AE9" s="347" t="e">
        <f>+E9+G9+I9+K9+M9+O9+Q9+S9+U9+W9+Y9+AA9+#REF!+#REF!+#REF!+#REF!+#REF!+AC9</f>
        <v>#REF!</v>
      </c>
      <c r="AF9" s="347" t="e">
        <f>+F9+H9+J9+L9+N9+P9+R9+T9+V9+X9+Z9+AB9+#REF!+#REF!+#REF!+#REF!+#REF!+AD9</f>
        <v>#REF!</v>
      </c>
      <c r="AG9" s="146" t="e">
        <f t="shared" si="0"/>
        <v>#REF!</v>
      </c>
      <c r="AH9" s="146">
        <v>0</v>
      </c>
    </row>
    <row r="10" spans="1:34" ht="42" hidden="1" x14ac:dyDescent="0.3">
      <c r="A10" s="349" t="s">
        <v>200</v>
      </c>
      <c r="B10" s="350" t="s">
        <v>201</v>
      </c>
      <c r="C10" s="346"/>
      <c r="D10" s="350">
        <v>26530313.279999997</v>
      </c>
      <c r="E10" s="351">
        <v>4421718.88</v>
      </c>
      <c r="F10" s="352">
        <v>2201179.5604185332</v>
      </c>
      <c r="G10" s="351">
        <v>4421718.88</v>
      </c>
      <c r="H10" s="352">
        <v>1823564.7680665327</v>
      </c>
      <c r="I10" s="351">
        <v>4421718.88</v>
      </c>
      <c r="J10" s="352">
        <v>1435460.6759269768</v>
      </c>
      <c r="K10" s="351">
        <v>4421718.88</v>
      </c>
      <c r="L10" s="352">
        <v>1052601.2336811994</v>
      </c>
      <c r="M10" s="351">
        <v>4421718.88</v>
      </c>
      <c r="N10" s="352">
        <v>669741.79143542168</v>
      </c>
      <c r="O10" s="351">
        <v>4421718.88</v>
      </c>
      <c r="P10" s="352">
        <v>286882.34918964398</v>
      </c>
      <c r="Q10" s="351"/>
      <c r="R10" s="352"/>
      <c r="S10" s="351"/>
      <c r="T10" s="352"/>
      <c r="U10" s="351"/>
      <c r="V10" s="352"/>
      <c r="W10" s="351"/>
      <c r="X10" s="352"/>
      <c r="Y10" s="351"/>
      <c r="Z10" s="352"/>
      <c r="AA10" s="351"/>
      <c r="AB10" s="352"/>
      <c r="AC10" s="352"/>
      <c r="AD10" s="352"/>
      <c r="AE10" s="347" t="e">
        <f>+E10+G10+I10+K10+M10+O10+Q10+S10+U10+W10+Y10+AA10+#REF!+#REF!+#REF!+#REF!+#REF!+AC10</f>
        <v>#REF!</v>
      </c>
      <c r="AF10" s="347" t="e">
        <f>+F10+H10+J10+L10+N10+P10+R10+T10+V10+X10+Z10+AB10+#REF!+#REF!+#REF!+#REF!+#REF!+AD10</f>
        <v>#REF!</v>
      </c>
      <c r="AG10" s="146" t="e">
        <f t="shared" si="0"/>
        <v>#REF!</v>
      </c>
      <c r="AH10" s="146">
        <v>0</v>
      </c>
    </row>
    <row r="11" spans="1:34" hidden="1" x14ac:dyDescent="0.3">
      <c r="A11" s="353" t="s">
        <v>202</v>
      </c>
      <c r="B11" s="354" t="s">
        <v>203</v>
      </c>
      <c r="C11" s="346"/>
      <c r="D11" s="354">
        <v>1447541</v>
      </c>
      <c r="E11" s="355">
        <v>0</v>
      </c>
      <c r="F11" s="355">
        <v>0</v>
      </c>
      <c r="G11" s="355">
        <v>1447541</v>
      </c>
      <c r="H11" s="355">
        <v>128476.23810000002</v>
      </c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47" t="e">
        <f>+E11+G11+I11+K11+M11+O11+Q11+S11+U11+W11+Y11+AA11+#REF!+#REF!+#REF!+#REF!+#REF!+AC11</f>
        <v>#REF!</v>
      </c>
      <c r="AF11" s="347" t="e">
        <f>+F11+H11+J11+L11+N11+P11+R11+T11+V11+X11+Z11+AB11+#REF!+#REF!+#REF!+#REF!+#REF!+AD11</f>
        <v>#REF!</v>
      </c>
      <c r="AG11" s="146" t="e">
        <f t="shared" si="0"/>
        <v>#REF!</v>
      </c>
      <c r="AH11" s="146">
        <v>0</v>
      </c>
    </row>
    <row r="12" spans="1:34" hidden="1" x14ac:dyDescent="0.3">
      <c r="A12" s="356"/>
      <c r="B12" s="357"/>
      <c r="C12" s="357"/>
      <c r="D12" s="357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</row>
    <row r="13" spans="1:34" hidden="1" x14ac:dyDescent="0.3">
      <c r="A13" s="356"/>
      <c r="B13" s="357"/>
      <c r="C13" s="357"/>
      <c r="D13" s="357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</row>
    <row r="14" spans="1:34" hidden="1" x14ac:dyDescent="0.3">
      <c r="A14" s="383" t="s">
        <v>190</v>
      </c>
      <c r="B14" s="406" t="s">
        <v>191</v>
      </c>
      <c r="C14" s="398" t="s">
        <v>204</v>
      </c>
      <c r="D14" s="398" t="s">
        <v>205</v>
      </c>
      <c r="E14" s="359" t="s">
        <v>206</v>
      </c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1"/>
      <c r="Q14" s="413"/>
      <c r="R14" s="414"/>
      <c r="S14" s="413"/>
      <c r="T14" s="414"/>
      <c r="U14" s="413"/>
      <c r="V14" s="414"/>
      <c r="W14" s="413"/>
      <c r="X14" s="414"/>
      <c r="Y14" s="413"/>
      <c r="Z14" s="414"/>
      <c r="AA14" s="413"/>
      <c r="AB14" s="414"/>
      <c r="AC14" s="344"/>
      <c r="AD14" s="344"/>
      <c r="AE14" s="395" t="s">
        <v>19</v>
      </c>
      <c r="AF14" s="397"/>
    </row>
    <row r="15" spans="1:34" hidden="1" x14ac:dyDescent="0.3">
      <c r="A15" s="383"/>
      <c r="B15" s="406"/>
      <c r="C15" s="399"/>
      <c r="D15" s="399"/>
      <c r="E15" s="383">
        <v>2024</v>
      </c>
      <c r="F15" s="383"/>
      <c r="G15" s="383">
        <v>2025</v>
      </c>
      <c r="H15" s="383"/>
      <c r="I15" s="383">
        <v>2026</v>
      </c>
      <c r="J15" s="383"/>
      <c r="K15" s="383">
        <v>2027</v>
      </c>
      <c r="L15" s="383"/>
      <c r="M15" s="383">
        <v>2028</v>
      </c>
      <c r="N15" s="383"/>
      <c r="O15" s="383">
        <v>2029</v>
      </c>
      <c r="P15" s="383"/>
      <c r="Q15" s="383">
        <v>2030</v>
      </c>
      <c r="R15" s="383"/>
      <c r="S15" s="383">
        <v>2031</v>
      </c>
      <c r="T15" s="383"/>
      <c r="U15" s="383">
        <v>2032</v>
      </c>
      <c r="V15" s="383"/>
      <c r="W15" s="383">
        <v>2033</v>
      </c>
      <c r="X15" s="383"/>
      <c r="Y15" s="383">
        <v>2034</v>
      </c>
      <c r="Z15" s="383"/>
      <c r="AA15" s="383">
        <v>2035</v>
      </c>
      <c r="AB15" s="383"/>
      <c r="AC15" s="383">
        <v>2041</v>
      </c>
      <c r="AD15" s="383"/>
      <c r="AE15" s="383"/>
      <c r="AF15" s="383"/>
    </row>
    <row r="16" spans="1:34" hidden="1" x14ac:dyDescent="0.3">
      <c r="A16" s="383"/>
      <c r="B16" s="406"/>
      <c r="C16" s="415"/>
      <c r="D16" s="415"/>
      <c r="E16" s="340" t="s">
        <v>37</v>
      </c>
      <c r="F16" s="340" t="s">
        <v>38</v>
      </c>
      <c r="G16" s="340" t="s">
        <v>37</v>
      </c>
      <c r="H16" s="340" t="s">
        <v>38</v>
      </c>
      <c r="I16" s="340" t="s">
        <v>37</v>
      </c>
      <c r="J16" s="340" t="s">
        <v>38</v>
      </c>
      <c r="K16" s="340" t="s">
        <v>37</v>
      </c>
      <c r="L16" s="340" t="s">
        <v>38</v>
      </c>
      <c r="M16" s="340" t="s">
        <v>37</v>
      </c>
      <c r="N16" s="340" t="s">
        <v>38</v>
      </c>
      <c r="O16" s="340" t="s">
        <v>37</v>
      </c>
      <c r="P16" s="340" t="s">
        <v>38</v>
      </c>
      <c r="Q16" s="340" t="s">
        <v>37</v>
      </c>
      <c r="R16" s="340" t="s">
        <v>38</v>
      </c>
      <c r="S16" s="340" t="s">
        <v>37</v>
      </c>
      <c r="T16" s="340" t="s">
        <v>38</v>
      </c>
      <c r="U16" s="340" t="s">
        <v>37</v>
      </c>
      <c r="V16" s="340" t="s">
        <v>38</v>
      </c>
      <c r="W16" s="340" t="s">
        <v>37</v>
      </c>
      <c r="X16" s="340" t="s">
        <v>38</v>
      </c>
      <c r="Y16" s="340" t="s">
        <v>37</v>
      </c>
      <c r="Z16" s="340" t="s">
        <v>38</v>
      </c>
      <c r="AA16" s="340" t="s">
        <v>37</v>
      </c>
      <c r="AB16" s="340" t="s">
        <v>38</v>
      </c>
      <c r="AC16" s="340" t="s">
        <v>37</v>
      </c>
      <c r="AD16" s="340" t="s">
        <v>38</v>
      </c>
      <c r="AE16" s="340" t="s">
        <v>37</v>
      </c>
      <c r="AF16" s="340" t="s">
        <v>38</v>
      </c>
    </row>
    <row r="17" spans="1:34" ht="15" hidden="1" customHeight="1" x14ac:dyDescent="0.3">
      <c r="A17" s="383"/>
      <c r="B17" s="406"/>
      <c r="C17" s="340"/>
      <c r="D17" s="340"/>
      <c r="E17" s="340" t="s">
        <v>194</v>
      </c>
      <c r="F17" s="340" t="s">
        <v>194</v>
      </c>
      <c r="G17" s="340" t="s">
        <v>194</v>
      </c>
      <c r="H17" s="340" t="s">
        <v>194</v>
      </c>
      <c r="I17" s="340" t="s">
        <v>194</v>
      </c>
      <c r="J17" s="340" t="s">
        <v>194</v>
      </c>
      <c r="K17" s="340" t="s">
        <v>194</v>
      </c>
      <c r="L17" s="340" t="s">
        <v>194</v>
      </c>
      <c r="M17" s="340" t="s">
        <v>194</v>
      </c>
      <c r="N17" s="340" t="s">
        <v>194</v>
      </c>
      <c r="O17" s="340" t="s">
        <v>194</v>
      </c>
      <c r="P17" s="340" t="s">
        <v>194</v>
      </c>
      <c r="Q17" s="340" t="s">
        <v>194</v>
      </c>
      <c r="R17" s="340" t="s">
        <v>194</v>
      </c>
      <c r="S17" s="340" t="s">
        <v>194</v>
      </c>
      <c r="T17" s="340" t="s">
        <v>194</v>
      </c>
      <c r="U17" s="340" t="s">
        <v>194</v>
      </c>
      <c r="V17" s="340" t="s">
        <v>194</v>
      </c>
      <c r="W17" s="340" t="s">
        <v>194</v>
      </c>
      <c r="X17" s="340" t="s">
        <v>194</v>
      </c>
      <c r="Y17" s="340" t="s">
        <v>194</v>
      </c>
      <c r="Z17" s="340" t="s">
        <v>194</v>
      </c>
      <c r="AA17" s="340" t="s">
        <v>194</v>
      </c>
      <c r="AB17" s="340" t="s">
        <v>194</v>
      </c>
      <c r="AC17" s="340"/>
      <c r="AD17" s="340"/>
      <c r="AE17" s="340" t="s">
        <v>194</v>
      </c>
      <c r="AF17" s="340" t="s">
        <v>194</v>
      </c>
    </row>
    <row r="18" spans="1:34" hidden="1" x14ac:dyDescent="0.3">
      <c r="A18" s="345" t="s">
        <v>195</v>
      </c>
      <c r="B18" s="346" t="s">
        <v>196</v>
      </c>
      <c r="C18" s="346">
        <v>299.35649999999998</v>
      </c>
      <c r="D18" s="346">
        <f>+D6*$C18</f>
        <v>25221744427.872074</v>
      </c>
      <c r="E18" s="346">
        <f t="shared" ref="E18:AD23" si="1">+E6*$C18</f>
        <v>720621269.36777353</v>
      </c>
      <c r="F18" s="346">
        <f t="shared" si="1"/>
        <v>765732160.83019602</v>
      </c>
      <c r="G18" s="346">
        <f t="shared" si="1"/>
        <v>1441242538.7355471</v>
      </c>
      <c r="H18" s="346">
        <f t="shared" si="1"/>
        <v>1453702080.4829159</v>
      </c>
      <c r="I18" s="346">
        <f t="shared" si="1"/>
        <v>1441242538.7355471</v>
      </c>
      <c r="J18" s="346">
        <f t="shared" si="1"/>
        <v>1366903248.5875676</v>
      </c>
      <c r="K18" s="346">
        <f t="shared" si="1"/>
        <v>1441242538.7355471</v>
      </c>
      <c r="L18" s="346">
        <f t="shared" si="1"/>
        <v>1280104416.6922197</v>
      </c>
      <c r="M18" s="346">
        <f t="shared" si="1"/>
        <v>1441242538.7355471</v>
      </c>
      <c r="N18" s="346">
        <f t="shared" si="1"/>
        <v>1196634855.0613508</v>
      </c>
      <c r="O18" s="346">
        <f t="shared" si="1"/>
        <v>1441242538.7355471</v>
      </c>
      <c r="P18" s="346">
        <f t="shared" si="1"/>
        <v>1106506752.9015234</v>
      </c>
      <c r="Q18" s="346">
        <f t="shared" si="1"/>
        <v>1441242538.7355471</v>
      </c>
      <c r="R18" s="346">
        <f t="shared" si="1"/>
        <v>1019707921.0061749</v>
      </c>
      <c r="S18" s="346">
        <f t="shared" si="1"/>
        <v>1441242538.7355471</v>
      </c>
      <c r="T18" s="346">
        <f t="shared" si="1"/>
        <v>932909089.11082661</v>
      </c>
      <c r="U18" s="346">
        <f t="shared" si="1"/>
        <v>1441242538.7355471</v>
      </c>
      <c r="V18" s="346">
        <f t="shared" si="1"/>
        <v>848488307.404392</v>
      </c>
      <c r="W18" s="346">
        <f t="shared" si="1"/>
        <v>1441242538.7355471</v>
      </c>
      <c r="X18" s="346">
        <f t="shared" si="1"/>
        <v>759311425.32012987</v>
      </c>
      <c r="Y18" s="346">
        <f t="shared" si="1"/>
        <v>1441242538.7355471</v>
      </c>
      <c r="Z18" s="346">
        <f t="shared" si="1"/>
        <v>672512593.42478168</v>
      </c>
      <c r="AA18" s="346">
        <f t="shared" si="1"/>
        <v>1441242538.7355471</v>
      </c>
      <c r="AB18" s="346">
        <f t="shared" si="1"/>
        <v>585713761.52943325</v>
      </c>
      <c r="AC18" s="346">
        <f t="shared" si="1"/>
        <v>1441242538.7355471</v>
      </c>
      <c r="AD18" s="346">
        <f t="shared" si="1"/>
        <v>64920770.157343261</v>
      </c>
      <c r="AE18" s="347" t="e">
        <f>+E18+G18+I18+K18+M18+O18+Q18+S18+U18+W18+Y18+AA18+#REF!+#REF!+#REF!+#REF!+#REF!+AC18</f>
        <v>#REF!</v>
      </c>
      <c r="AF18" s="347" t="e">
        <f>+F18+H18+J18+L18+N18+P18+R18+T18+V18+X18+Z18+AB18+#REF!+#REF!+#REF!+#REF!+#REF!+AD18</f>
        <v>#REF!</v>
      </c>
      <c r="AG18" s="146" t="e">
        <f t="shared" ref="AG18:AG23" si="2">+AE18-D18</f>
        <v>#REF!</v>
      </c>
      <c r="AH18" s="146">
        <v>0</v>
      </c>
    </row>
    <row r="19" spans="1:34" hidden="1" x14ac:dyDescent="0.3">
      <c r="A19" s="345" t="s">
        <v>197</v>
      </c>
      <c r="B19" s="346" t="s">
        <v>196</v>
      </c>
      <c r="C19" s="346">
        <v>299.35649999999998</v>
      </c>
      <c r="D19" s="346">
        <f t="shared" ref="D19:S22" si="3">+D7*$C19</f>
        <v>12265619831.725409</v>
      </c>
      <c r="E19" s="346">
        <f t="shared" si="3"/>
        <v>411615187.5</v>
      </c>
      <c r="F19" s="346">
        <f t="shared" si="3"/>
        <v>125381891.61319306</v>
      </c>
      <c r="G19" s="346">
        <f t="shared" si="3"/>
        <v>823230375</v>
      </c>
      <c r="H19" s="346">
        <f t="shared" si="3"/>
        <v>236165250.0356819</v>
      </c>
      <c r="I19" s="346">
        <f t="shared" si="3"/>
        <v>823230375</v>
      </c>
      <c r="J19" s="346">
        <f t="shared" si="3"/>
        <v>219471967.43151525</v>
      </c>
      <c r="K19" s="346">
        <f t="shared" si="3"/>
        <v>823230375</v>
      </c>
      <c r="L19" s="346">
        <f t="shared" si="3"/>
        <v>202778684.82734856</v>
      </c>
      <c r="M19" s="346">
        <f t="shared" si="3"/>
        <v>823230375</v>
      </c>
      <c r="N19" s="346">
        <f t="shared" si="3"/>
        <v>186606752.97424999</v>
      </c>
      <c r="O19" s="346">
        <f t="shared" si="3"/>
        <v>823230375</v>
      </c>
      <c r="P19" s="346">
        <f t="shared" si="3"/>
        <v>169392119.61901528</v>
      </c>
      <c r="Q19" s="346">
        <f t="shared" si="3"/>
        <v>823230375</v>
      </c>
      <c r="R19" s="346">
        <f t="shared" si="3"/>
        <v>152698837.01484859</v>
      </c>
      <c r="S19" s="346">
        <f t="shared" si="3"/>
        <v>823230375</v>
      </c>
      <c r="T19" s="346">
        <f t="shared" si="1"/>
        <v>136005554.41068193</v>
      </c>
      <c r="U19" s="346">
        <f t="shared" si="1"/>
        <v>823230375</v>
      </c>
      <c r="V19" s="346">
        <f t="shared" si="1"/>
        <v>119312271.80651525</v>
      </c>
      <c r="W19" s="346">
        <f t="shared" si="1"/>
        <v>823230375</v>
      </c>
      <c r="X19" s="346">
        <f t="shared" si="1"/>
        <v>103497016.14305282</v>
      </c>
      <c r="Y19" s="346">
        <f t="shared" si="1"/>
        <v>823230375</v>
      </c>
      <c r="Z19" s="346">
        <f t="shared" si="1"/>
        <v>86666528.47638616</v>
      </c>
      <c r="AA19" s="346">
        <f t="shared" si="1"/>
        <v>823230375</v>
      </c>
      <c r="AB19" s="346">
        <f t="shared" si="1"/>
        <v>69836040.809719488</v>
      </c>
      <c r="AC19" s="346">
        <f t="shared" si="1"/>
        <v>0</v>
      </c>
      <c r="AD19" s="346">
        <f t="shared" si="1"/>
        <v>0</v>
      </c>
      <c r="AE19" s="347" t="e">
        <f>+E19+G19+I19+K19+M19+O19+Q19+S19+U19+W19+Y19+AA19+#REF!+#REF!+#REF!+#REF!+#REF!+AC19</f>
        <v>#REF!</v>
      </c>
      <c r="AF19" s="347" t="e">
        <f>+F19+H19+J19+L19+N19+P19+R19+T19+V19+X19+Z19+AB19+#REF!+#REF!+#REF!+#REF!+#REF!+AD19</f>
        <v>#REF!</v>
      </c>
      <c r="AG19" s="146" t="e">
        <f t="shared" si="2"/>
        <v>#REF!</v>
      </c>
      <c r="AH19" s="146">
        <v>0</v>
      </c>
    </row>
    <row r="20" spans="1:34" hidden="1" x14ac:dyDescent="0.3">
      <c r="A20" s="345" t="s">
        <v>198</v>
      </c>
      <c r="B20" s="346" t="s">
        <v>196</v>
      </c>
      <c r="C20" s="346">
        <v>299.35649999999998</v>
      </c>
      <c r="D20" s="346">
        <f t="shared" si="3"/>
        <v>19327487590.707493</v>
      </c>
      <c r="E20" s="346">
        <f t="shared" si="1"/>
        <v>568455517.37374973</v>
      </c>
      <c r="F20" s="346">
        <f t="shared" si="1"/>
        <v>586782523.25387943</v>
      </c>
      <c r="G20" s="346">
        <f t="shared" si="1"/>
        <v>1136911034.7474995</v>
      </c>
      <c r="H20" s="346">
        <f t="shared" si="1"/>
        <v>1112504397.1090574</v>
      </c>
      <c r="I20" s="346">
        <f t="shared" si="1"/>
        <v>1136911034.7474995</v>
      </c>
      <c r="J20" s="346">
        <f t="shared" si="1"/>
        <v>1044033930.0413893</v>
      </c>
      <c r="K20" s="346">
        <f t="shared" si="1"/>
        <v>1136911034.7474995</v>
      </c>
      <c r="L20" s="346">
        <f t="shared" si="1"/>
        <v>975563462.97372115</v>
      </c>
      <c r="M20" s="346">
        <f t="shared" si="1"/>
        <v>1136911034.7474995</v>
      </c>
      <c r="N20" s="346">
        <f t="shared" si="1"/>
        <v>909625465.23595285</v>
      </c>
      <c r="O20" s="346">
        <f t="shared" si="1"/>
        <v>1136911034.7474995</v>
      </c>
      <c r="P20" s="346">
        <f t="shared" si="1"/>
        <v>838622528.83838451</v>
      </c>
      <c r="Q20" s="346">
        <f t="shared" si="1"/>
        <v>1136911034.7474995</v>
      </c>
      <c r="R20" s="346">
        <f t="shared" si="1"/>
        <v>770152061.77071643</v>
      </c>
      <c r="S20" s="346">
        <f t="shared" si="1"/>
        <v>1136911034.7474995</v>
      </c>
      <c r="T20" s="346">
        <f t="shared" si="1"/>
        <v>701681594.70304811</v>
      </c>
      <c r="U20" s="346">
        <f t="shared" si="1"/>
        <v>1136911034.7474995</v>
      </c>
      <c r="V20" s="346">
        <f t="shared" si="1"/>
        <v>634993235.68234658</v>
      </c>
      <c r="W20" s="346">
        <f t="shared" si="1"/>
        <v>1136911034.7474995</v>
      </c>
      <c r="X20" s="346">
        <f t="shared" si="1"/>
        <v>564740660.56771183</v>
      </c>
      <c r="Y20" s="346">
        <f t="shared" si="1"/>
        <v>1136911034.7474995</v>
      </c>
      <c r="Z20" s="346">
        <f t="shared" si="1"/>
        <v>496270193.50004363</v>
      </c>
      <c r="AA20" s="346">
        <f t="shared" si="1"/>
        <v>1136911034.7474995</v>
      </c>
      <c r="AB20" s="346">
        <f t="shared" si="1"/>
        <v>427799726.43237555</v>
      </c>
      <c r="AC20" s="346">
        <f t="shared" si="1"/>
        <v>568455517.37374485</v>
      </c>
      <c r="AD20" s="346">
        <f t="shared" si="1"/>
        <v>16976924.026366889</v>
      </c>
      <c r="AE20" s="347" t="e">
        <f>+E20+G20+I20+K20+M20+O20+Q20+S20+U20+W20+Y20+AA20+#REF!+#REF!+#REF!+#REF!+#REF!+AC20</f>
        <v>#REF!</v>
      </c>
      <c r="AF20" s="347" t="e">
        <f>+F20+H20+J20+L20+N20+P20+R20+T20+V20+X20+Z20+AB20+#REF!+#REF!+#REF!+#REF!+#REF!+AD20</f>
        <v>#REF!</v>
      </c>
      <c r="AG20" s="146" t="e">
        <f t="shared" si="2"/>
        <v>#REF!</v>
      </c>
      <c r="AH20" s="146">
        <v>0</v>
      </c>
    </row>
    <row r="21" spans="1:34" hidden="1" x14ac:dyDescent="0.3">
      <c r="A21" s="345" t="s">
        <v>199</v>
      </c>
      <c r="B21" s="346" t="s">
        <v>196</v>
      </c>
      <c r="C21" s="346">
        <v>299.35649999999998</v>
      </c>
      <c r="D21" s="346">
        <f t="shared" si="3"/>
        <v>39818204601.755898</v>
      </c>
      <c r="E21" s="346">
        <f t="shared" si="1"/>
        <v>1474748318.5835516</v>
      </c>
      <c r="F21" s="346">
        <f t="shared" si="1"/>
        <v>1188529164.9128561</v>
      </c>
      <c r="G21" s="346">
        <f t="shared" si="1"/>
        <v>2949496637.1671033</v>
      </c>
      <c r="H21" s="346">
        <f t="shared" si="1"/>
        <v>2226339051.6664729</v>
      </c>
      <c r="I21" s="346">
        <f t="shared" si="1"/>
        <v>2949496637.1671033</v>
      </c>
      <c r="J21" s="346">
        <f t="shared" si="1"/>
        <v>2051696078.5613234</v>
      </c>
      <c r="K21" s="346">
        <f t="shared" si="1"/>
        <v>2949496637.1671033</v>
      </c>
      <c r="L21" s="346">
        <f t="shared" si="1"/>
        <v>1877053105.4561729</v>
      </c>
      <c r="M21" s="346">
        <f t="shared" si="1"/>
        <v>2949496637.1671033</v>
      </c>
      <c r="N21" s="346">
        <f t="shared" si="1"/>
        <v>1707194871.340205</v>
      </c>
      <c r="O21" s="346">
        <f t="shared" si="1"/>
        <v>2949496637.1671033</v>
      </c>
      <c r="P21" s="346">
        <f t="shared" si="1"/>
        <v>1527767159.245873</v>
      </c>
      <c r="Q21" s="346">
        <f t="shared" si="1"/>
        <v>2949496637.1671033</v>
      </c>
      <c r="R21" s="346">
        <f t="shared" si="1"/>
        <v>1353124186.1407228</v>
      </c>
      <c r="S21" s="346">
        <f t="shared" si="1"/>
        <v>2949496637.1671033</v>
      </c>
      <c r="T21" s="346">
        <f t="shared" si="1"/>
        <v>1178481213.0355728</v>
      </c>
      <c r="U21" s="346">
        <f t="shared" si="1"/>
        <v>2949496637.1671033</v>
      </c>
      <c r="V21" s="346">
        <f t="shared" si="1"/>
        <v>1006709083.3239319</v>
      </c>
      <c r="W21" s="346">
        <f t="shared" si="1"/>
        <v>2949496637.1671033</v>
      </c>
      <c r="X21" s="346">
        <f t="shared" si="1"/>
        <v>829195266.82527268</v>
      </c>
      <c r="Y21" s="346">
        <f t="shared" si="1"/>
        <v>2949496637.1671033</v>
      </c>
      <c r="Z21" s="346">
        <f t="shared" si="1"/>
        <v>654552293.72012269</v>
      </c>
      <c r="AA21" s="346">
        <f t="shared" si="1"/>
        <v>2949496637.1671033</v>
      </c>
      <c r="AB21" s="346">
        <f t="shared" si="1"/>
        <v>479909320.61497271</v>
      </c>
      <c r="AC21" s="346">
        <f t="shared" si="1"/>
        <v>0</v>
      </c>
      <c r="AD21" s="346">
        <f t="shared" si="1"/>
        <v>0</v>
      </c>
      <c r="AE21" s="347" t="e">
        <f>+E21+G21+I21+K21+M21+O21+Q21+S21+U21+W21+Y21+AA21+#REF!+#REF!+#REF!+#REF!+#REF!+AC21</f>
        <v>#REF!</v>
      </c>
      <c r="AF21" s="347" t="e">
        <f>+F21+H21+J21+L21+N21+P21+R21+T21+V21+X21+Z21+AB21+#REF!+#REF!+#REF!+#REF!+#REF!+AD21</f>
        <v>#REF!</v>
      </c>
      <c r="AG21" s="146" t="e">
        <f t="shared" si="2"/>
        <v>#REF!</v>
      </c>
      <c r="AH21" s="146">
        <v>0</v>
      </c>
    </row>
    <row r="22" spans="1:34" ht="42" hidden="1" x14ac:dyDescent="0.3">
      <c r="A22" s="349" t="s">
        <v>200</v>
      </c>
      <c r="B22" s="350" t="s">
        <v>201</v>
      </c>
      <c r="C22" s="346">
        <v>299.35649999999998</v>
      </c>
      <c r="D22" s="346">
        <f t="shared" si="3"/>
        <v>7942021727.4043188</v>
      </c>
      <c r="E22" s="346">
        <f t="shared" si="1"/>
        <v>1323670287.9007199</v>
      </c>
      <c r="F22" s="346">
        <f t="shared" si="1"/>
        <v>658937409.07843053</v>
      </c>
      <c r="G22" s="346">
        <f t="shared" si="1"/>
        <v>1323670287.9007199</v>
      </c>
      <c r="H22" s="346">
        <f>+H10*$C22</f>
        <v>545895966.49170899</v>
      </c>
      <c r="I22" s="346">
        <f t="shared" si="1"/>
        <v>1323670287.9007199</v>
      </c>
      <c r="J22" s="346">
        <f t="shared" si="1"/>
        <v>429714483.833134</v>
      </c>
      <c r="K22" s="346">
        <f t="shared" si="1"/>
        <v>1323670287.9007199</v>
      </c>
      <c r="L22" s="346">
        <f t="shared" si="1"/>
        <v>315103021.21048594</v>
      </c>
      <c r="M22" s="346">
        <f t="shared" si="1"/>
        <v>1323670287.9007199</v>
      </c>
      <c r="N22" s="346">
        <f t="shared" si="1"/>
        <v>200491558.58783779</v>
      </c>
      <c r="O22" s="346">
        <f t="shared" si="1"/>
        <v>1323670287.9007199</v>
      </c>
      <c r="P22" s="346">
        <f t="shared" si="1"/>
        <v>85880095.965189651</v>
      </c>
      <c r="Q22" s="346">
        <f t="shared" si="1"/>
        <v>0</v>
      </c>
      <c r="R22" s="346">
        <f t="shared" si="1"/>
        <v>0</v>
      </c>
      <c r="S22" s="346">
        <f t="shared" si="1"/>
        <v>0</v>
      </c>
      <c r="T22" s="346">
        <f t="shared" si="1"/>
        <v>0</v>
      </c>
      <c r="U22" s="346">
        <f t="shared" si="1"/>
        <v>0</v>
      </c>
      <c r="V22" s="346">
        <f t="shared" si="1"/>
        <v>0</v>
      </c>
      <c r="W22" s="346">
        <f t="shared" si="1"/>
        <v>0</v>
      </c>
      <c r="X22" s="346">
        <f t="shared" si="1"/>
        <v>0</v>
      </c>
      <c r="Y22" s="346">
        <f t="shared" si="1"/>
        <v>0</v>
      </c>
      <c r="Z22" s="346">
        <f t="shared" si="1"/>
        <v>0</v>
      </c>
      <c r="AA22" s="346">
        <f t="shared" si="1"/>
        <v>0</v>
      </c>
      <c r="AB22" s="346">
        <f t="shared" si="1"/>
        <v>0</v>
      </c>
      <c r="AC22" s="346">
        <f t="shared" si="1"/>
        <v>0</v>
      </c>
      <c r="AD22" s="346">
        <f t="shared" si="1"/>
        <v>0</v>
      </c>
      <c r="AE22" s="347" t="e">
        <f>+E22+G22+I22+K22+M22+O22+Q22+S22+U22+W22+Y22+AA22+#REF!+#REF!+#REF!+#REF!+#REF!+AC22</f>
        <v>#REF!</v>
      </c>
      <c r="AF22" s="347" t="e">
        <f>+F22+H22+J22+L22+N22+P22+R22+T22+V22+X22+Z22+AB22+#REF!+#REF!+#REF!+#REF!+#REF!+AD22</f>
        <v>#REF!</v>
      </c>
      <c r="AG22" s="146" t="e">
        <f t="shared" si="2"/>
        <v>#REF!</v>
      </c>
      <c r="AH22" s="146">
        <v>0</v>
      </c>
    </row>
    <row r="23" spans="1:34" hidden="1" x14ac:dyDescent="0.3">
      <c r="A23" s="353" t="s">
        <v>202</v>
      </c>
      <c r="B23" s="354" t="s">
        <v>203</v>
      </c>
      <c r="C23" s="346">
        <v>299.35649999999998</v>
      </c>
      <c r="D23" s="346">
        <f>+D11*$C23</f>
        <v>433330807.36649996</v>
      </c>
      <c r="E23" s="346">
        <f t="shared" si="1"/>
        <v>0</v>
      </c>
      <c r="F23" s="346">
        <f t="shared" si="1"/>
        <v>0</v>
      </c>
      <c r="G23" s="346">
        <f t="shared" si="1"/>
        <v>433330807.36649996</v>
      </c>
      <c r="H23" s="346">
        <f t="shared" si="1"/>
        <v>38460196.970782652</v>
      </c>
      <c r="I23" s="346">
        <f t="shared" si="1"/>
        <v>0</v>
      </c>
      <c r="J23" s="346">
        <f t="shared" si="1"/>
        <v>0</v>
      </c>
      <c r="K23" s="346">
        <f t="shared" si="1"/>
        <v>0</v>
      </c>
      <c r="L23" s="346">
        <f t="shared" si="1"/>
        <v>0</v>
      </c>
      <c r="M23" s="346">
        <f t="shared" si="1"/>
        <v>0</v>
      </c>
      <c r="N23" s="346">
        <f t="shared" si="1"/>
        <v>0</v>
      </c>
      <c r="O23" s="346">
        <f t="shared" si="1"/>
        <v>0</v>
      </c>
      <c r="P23" s="346">
        <f t="shared" si="1"/>
        <v>0</v>
      </c>
      <c r="Q23" s="346">
        <f t="shared" si="1"/>
        <v>0</v>
      </c>
      <c r="R23" s="346">
        <f t="shared" si="1"/>
        <v>0</v>
      </c>
      <c r="S23" s="346">
        <f t="shared" si="1"/>
        <v>0</v>
      </c>
      <c r="T23" s="346">
        <f t="shared" si="1"/>
        <v>0</v>
      </c>
      <c r="U23" s="346">
        <f t="shared" si="1"/>
        <v>0</v>
      </c>
      <c r="V23" s="346">
        <f t="shared" si="1"/>
        <v>0</v>
      </c>
      <c r="W23" s="346">
        <f t="shared" si="1"/>
        <v>0</v>
      </c>
      <c r="X23" s="346">
        <f t="shared" si="1"/>
        <v>0</v>
      </c>
      <c r="Y23" s="346">
        <f t="shared" si="1"/>
        <v>0</v>
      </c>
      <c r="Z23" s="346">
        <f t="shared" si="1"/>
        <v>0</v>
      </c>
      <c r="AA23" s="346">
        <f t="shared" si="1"/>
        <v>0</v>
      </c>
      <c r="AB23" s="346">
        <f t="shared" si="1"/>
        <v>0</v>
      </c>
      <c r="AC23" s="346">
        <f t="shared" si="1"/>
        <v>0</v>
      </c>
      <c r="AD23" s="346">
        <f t="shared" si="1"/>
        <v>0</v>
      </c>
      <c r="AE23" s="347" t="e">
        <f>+E23+G23+I23+K23+M23+O23+Q23+S23+U23+W23+Y23+AA23+#REF!+#REF!+#REF!+#REF!+#REF!+AC23</f>
        <v>#REF!</v>
      </c>
      <c r="AF23" s="347" t="e">
        <f>+F23+H23+J23+L23+N23+P23+R23+T23+V23+X23+Z23+AB23+#REF!+#REF!+#REF!+#REF!+#REF!+AD23</f>
        <v>#REF!</v>
      </c>
      <c r="AG23" s="146" t="e">
        <f t="shared" si="2"/>
        <v>#REF!</v>
      </c>
      <c r="AH23" s="146">
        <v>0</v>
      </c>
    </row>
    <row r="24" spans="1:34" hidden="1" x14ac:dyDescent="0.3">
      <c r="A24" s="356"/>
      <c r="B24" s="357"/>
      <c r="C24" s="357"/>
      <c r="D24" s="357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</row>
    <row r="25" spans="1:34" hidden="1" x14ac:dyDescent="0.3">
      <c r="A25" s="356"/>
      <c r="B25" s="357"/>
      <c r="C25" s="357"/>
      <c r="D25" s="357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358"/>
      <c r="Z25" s="358"/>
      <c r="AA25" s="358"/>
      <c r="AB25" s="358"/>
      <c r="AC25" s="358"/>
      <c r="AD25" s="358"/>
    </row>
    <row r="26" spans="1:34" hidden="1" x14ac:dyDescent="0.3">
      <c r="A26" s="353"/>
      <c r="B26" s="354"/>
      <c r="C26" s="362"/>
      <c r="D26" s="362"/>
      <c r="E26" s="407" t="s">
        <v>206</v>
      </c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363"/>
      <c r="AD26" s="363"/>
      <c r="AE26" s="409" t="s">
        <v>19</v>
      </c>
      <c r="AF26" s="410"/>
    </row>
    <row r="27" spans="1:34" hidden="1" x14ac:dyDescent="0.3">
      <c r="A27" s="353"/>
      <c r="B27" s="354"/>
      <c r="C27" s="354"/>
      <c r="D27" s="354"/>
      <c r="E27" s="404">
        <v>2024</v>
      </c>
      <c r="F27" s="405"/>
      <c r="G27" s="404">
        <v>2025</v>
      </c>
      <c r="H27" s="405"/>
      <c r="I27" s="404">
        <v>2026</v>
      </c>
      <c r="J27" s="405"/>
      <c r="K27" s="404">
        <v>2027</v>
      </c>
      <c r="L27" s="405"/>
      <c r="M27" s="404">
        <v>2028</v>
      </c>
      <c r="N27" s="405"/>
      <c r="O27" s="404">
        <v>2029</v>
      </c>
      <c r="P27" s="405"/>
      <c r="Q27" s="404">
        <v>2030</v>
      </c>
      <c r="R27" s="405"/>
      <c r="S27" s="404">
        <v>2031</v>
      </c>
      <c r="T27" s="405"/>
      <c r="U27" s="404">
        <v>2032</v>
      </c>
      <c r="V27" s="405"/>
      <c r="W27" s="404">
        <v>2033</v>
      </c>
      <c r="X27" s="405"/>
      <c r="Y27" s="404">
        <v>2034</v>
      </c>
      <c r="Z27" s="405"/>
      <c r="AA27" s="404">
        <v>2035</v>
      </c>
      <c r="AB27" s="405"/>
      <c r="AC27" s="404">
        <v>2041</v>
      </c>
      <c r="AD27" s="405"/>
      <c r="AE27" s="411"/>
      <c r="AF27" s="412"/>
    </row>
    <row r="28" spans="1:34" hidden="1" x14ac:dyDescent="0.3">
      <c r="A28" s="353"/>
      <c r="B28" s="354"/>
      <c r="C28" s="354"/>
      <c r="D28" s="354"/>
      <c r="E28" s="340" t="s">
        <v>37</v>
      </c>
      <c r="F28" s="340" t="s">
        <v>38</v>
      </c>
      <c r="G28" s="340" t="s">
        <v>37</v>
      </c>
      <c r="H28" s="340" t="s">
        <v>38</v>
      </c>
      <c r="I28" s="340" t="s">
        <v>37</v>
      </c>
      <c r="J28" s="340" t="s">
        <v>38</v>
      </c>
      <c r="K28" s="340" t="s">
        <v>37</v>
      </c>
      <c r="L28" s="340" t="s">
        <v>38</v>
      </c>
      <c r="M28" s="340" t="s">
        <v>37</v>
      </c>
      <c r="N28" s="340" t="s">
        <v>38</v>
      </c>
      <c r="O28" s="340" t="s">
        <v>37</v>
      </c>
      <c r="P28" s="340" t="s">
        <v>38</v>
      </c>
      <c r="Q28" s="340" t="s">
        <v>37</v>
      </c>
      <c r="R28" s="340" t="s">
        <v>38</v>
      </c>
      <c r="S28" s="340" t="s">
        <v>37</v>
      </c>
      <c r="T28" s="340" t="s">
        <v>38</v>
      </c>
      <c r="U28" s="340" t="s">
        <v>37</v>
      </c>
      <c r="V28" s="340" t="s">
        <v>38</v>
      </c>
      <c r="W28" s="340" t="s">
        <v>37</v>
      </c>
      <c r="X28" s="340" t="s">
        <v>38</v>
      </c>
      <c r="Y28" s="340" t="s">
        <v>37</v>
      </c>
      <c r="Z28" s="340" t="s">
        <v>38</v>
      </c>
      <c r="AA28" s="340" t="s">
        <v>37</v>
      </c>
      <c r="AB28" s="340" t="s">
        <v>38</v>
      </c>
      <c r="AC28" s="340" t="s">
        <v>37</v>
      </c>
      <c r="AD28" s="340" t="s">
        <v>38</v>
      </c>
      <c r="AE28" s="340" t="s">
        <v>37</v>
      </c>
      <c r="AF28" s="340" t="s">
        <v>38</v>
      </c>
    </row>
    <row r="29" spans="1:34" hidden="1" x14ac:dyDescent="0.3">
      <c r="A29" s="353" t="s">
        <v>207</v>
      </c>
      <c r="B29" s="354" t="s">
        <v>39</v>
      </c>
      <c r="C29" s="354"/>
      <c r="D29" s="354">
        <v>5787315889.8299999</v>
      </c>
      <c r="E29" s="355">
        <v>150000000</v>
      </c>
      <c r="F29" s="355">
        <v>176787420.65082002</v>
      </c>
      <c r="G29" s="355">
        <v>650000000</v>
      </c>
      <c r="H29" s="355">
        <v>660810752.04772449</v>
      </c>
      <c r="I29" s="355">
        <v>1200000000</v>
      </c>
      <c r="J29" s="355">
        <v>546681877.04772449</v>
      </c>
      <c r="K29" s="355">
        <v>1220800000</v>
      </c>
      <c r="L29" s="355">
        <v>398776543.71439111</v>
      </c>
      <c r="M29" s="355">
        <v>1449600000</v>
      </c>
      <c r="N29" s="355">
        <v>234945150.0670864</v>
      </c>
      <c r="O29" s="355">
        <v>1116915889.8299999</v>
      </c>
      <c r="P29" s="355">
        <v>58596759.311094247</v>
      </c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>
        <f>+E29+G29+I29+K29+M29+O29</f>
        <v>5787315889.8299999</v>
      </c>
      <c r="AF29" s="355">
        <f>+F29+H29+J29+L29+N29+P29</f>
        <v>2076598502.8388407</v>
      </c>
      <c r="AG29" s="146">
        <f>+D29-AE29</f>
        <v>0</v>
      </c>
      <c r="AH29" s="146">
        <v>0</v>
      </c>
    </row>
    <row r="30" spans="1:34" hidden="1" x14ac:dyDescent="0.3"/>
    <row r="31" spans="1:34" ht="15" x14ac:dyDescent="0.3">
      <c r="A31" s="368" t="s">
        <v>0</v>
      </c>
    </row>
    <row r="32" spans="1:34" ht="15" x14ac:dyDescent="0.3">
      <c r="A32" s="368" t="s">
        <v>209</v>
      </c>
    </row>
    <row r="33" spans="1:32" ht="15" x14ac:dyDescent="0.3">
      <c r="A33" s="368" t="s">
        <v>210</v>
      </c>
    </row>
    <row r="35" spans="1:32" x14ac:dyDescent="0.3">
      <c r="A35" s="383" t="s">
        <v>190</v>
      </c>
      <c r="B35" s="406" t="s">
        <v>191</v>
      </c>
      <c r="C35" s="400" t="s">
        <v>208</v>
      </c>
      <c r="D35" s="401"/>
      <c r="E35" s="395" t="s">
        <v>193</v>
      </c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7"/>
      <c r="AC35" s="360"/>
      <c r="AD35" s="361"/>
    </row>
    <row r="36" spans="1:32" x14ac:dyDescent="0.3">
      <c r="A36" s="383"/>
      <c r="B36" s="406"/>
      <c r="C36" s="402"/>
      <c r="D36" s="403"/>
      <c r="E36" s="383" t="s">
        <v>20</v>
      </c>
      <c r="F36" s="383"/>
      <c r="G36" s="383" t="s">
        <v>21</v>
      </c>
      <c r="H36" s="383"/>
      <c r="I36" s="383" t="s">
        <v>22</v>
      </c>
      <c r="J36" s="383"/>
      <c r="K36" s="383" t="s">
        <v>23</v>
      </c>
      <c r="L36" s="383"/>
      <c r="M36" s="383" t="s">
        <v>24</v>
      </c>
      <c r="N36" s="383"/>
      <c r="O36" s="383" t="s">
        <v>25</v>
      </c>
      <c r="P36" s="383"/>
      <c r="Q36" s="383" t="s">
        <v>1</v>
      </c>
      <c r="R36" s="383"/>
      <c r="S36" s="383" t="s">
        <v>2</v>
      </c>
      <c r="T36" s="383"/>
      <c r="U36" s="383" t="s">
        <v>3</v>
      </c>
      <c r="V36" s="383"/>
      <c r="W36" s="383" t="s">
        <v>4</v>
      </c>
      <c r="X36" s="383"/>
      <c r="Y36" s="383" t="s">
        <v>5</v>
      </c>
      <c r="Z36" s="383"/>
      <c r="AA36" s="383" t="s">
        <v>6</v>
      </c>
      <c r="AB36" s="383"/>
      <c r="AC36" s="383" t="s">
        <v>19</v>
      </c>
      <c r="AD36" s="383"/>
    </row>
    <row r="37" spans="1:32" x14ac:dyDescent="0.3">
      <c r="A37" s="383"/>
      <c r="B37" s="406"/>
      <c r="C37" s="340" t="s">
        <v>37</v>
      </c>
      <c r="D37" s="340" t="s">
        <v>38</v>
      </c>
      <c r="E37" s="340" t="s">
        <v>37</v>
      </c>
      <c r="F37" s="340" t="s">
        <v>38</v>
      </c>
      <c r="G37" s="340" t="s">
        <v>37</v>
      </c>
      <c r="H37" s="340" t="s">
        <v>38</v>
      </c>
      <c r="I37" s="340" t="s">
        <v>37</v>
      </c>
      <c r="J37" s="340" t="s">
        <v>38</v>
      </c>
      <c r="K37" s="340" t="s">
        <v>37</v>
      </c>
      <c r="L37" s="340" t="s">
        <v>38</v>
      </c>
      <c r="M37" s="340" t="s">
        <v>37</v>
      </c>
      <c r="N37" s="340" t="s">
        <v>38</v>
      </c>
      <c r="O37" s="340" t="s">
        <v>37</v>
      </c>
      <c r="P37" s="340" t="s">
        <v>38</v>
      </c>
      <c r="Q37" s="340" t="s">
        <v>37</v>
      </c>
      <c r="R37" s="340" t="s">
        <v>38</v>
      </c>
      <c r="S37" s="340" t="s">
        <v>37</v>
      </c>
      <c r="T37" s="340" t="s">
        <v>38</v>
      </c>
      <c r="U37" s="340" t="s">
        <v>37</v>
      </c>
      <c r="V37" s="340" t="s">
        <v>38</v>
      </c>
      <c r="W37" s="340" t="s">
        <v>37</v>
      </c>
      <c r="X37" s="340" t="s">
        <v>38</v>
      </c>
      <c r="Y37" s="340" t="s">
        <v>37</v>
      </c>
      <c r="Z37" s="340" t="s">
        <v>38</v>
      </c>
      <c r="AA37" s="340" t="s">
        <v>37</v>
      </c>
      <c r="AB37" s="340" t="s">
        <v>38</v>
      </c>
      <c r="AC37" s="340" t="s">
        <v>37</v>
      </c>
      <c r="AD37" s="340" t="s">
        <v>38</v>
      </c>
    </row>
    <row r="38" spans="1:32" x14ac:dyDescent="0.3">
      <c r="A38" s="345" t="s">
        <v>195</v>
      </c>
      <c r="B38" s="346" t="s">
        <v>196</v>
      </c>
      <c r="C38" s="346">
        <f>+G6</f>
        <v>4814468.8314285716</v>
      </c>
      <c r="D38" s="346">
        <f>+H6</f>
        <v>4856089.9144762717</v>
      </c>
      <c r="E38" s="347"/>
      <c r="F38" s="347"/>
      <c r="G38" s="347"/>
      <c r="H38" s="347"/>
      <c r="I38" s="347"/>
      <c r="J38" s="347"/>
      <c r="K38" s="347"/>
      <c r="L38" s="347"/>
      <c r="M38" s="347">
        <f>+'[17]NEW 3483'!$F$31</f>
        <v>2407234.4157142858</v>
      </c>
      <c r="N38" s="347">
        <f>+'[17]NEW 3483'!$E$31</f>
        <v>2444329.8980604424</v>
      </c>
      <c r="O38" s="347"/>
      <c r="P38" s="347"/>
      <c r="Q38" s="347"/>
      <c r="R38" s="347"/>
      <c r="S38" s="347"/>
      <c r="T38" s="347"/>
      <c r="U38" s="347"/>
      <c r="V38" s="347"/>
      <c r="W38" s="347"/>
      <c r="X38" s="347"/>
      <c r="Y38" s="347">
        <f>+'[17]NEW 3483'!$F$32</f>
        <v>2407234.4157142858</v>
      </c>
      <c r="Z38" s="347">
        <f>+'[17]NEW 3483'!$E$32</f>
        <v>2411760.0164158288</v>
      </c>
      <c r="AA38" s="347"/>
      <c r="AB38" s="347"/>
      <c r="AC38" s="347">
        <f>E38+G38+I38+K38+M38+O38+Q38+S38+U38+W38+Y38+AA38</f>
        <v>4814468.8314285716</v>
      </c>
      <c r="AD38" s="347">
        <f>F38+H38+J38+L38+N38+P38+R38+T38+V38+X38+Z38+AB38</f>
        <v>4856089.9144762717</v>
      </c>
      <c r="AE38" s="146"/>
      <c r="AF38" s="146"/>
    </row>
    <row r="39" spans="1:32" x14ac:dyDescent="0.3">
      <c r="A39" s="345" t="s">
        <v>197</v>
      </c>
      <c r="B39" s="346" t="s">
        <v>196</v>
      </c>
      <c r="C39" s="346">
        <f t="shared" ref="C39:D39" si="4">+G7</f>
        <v>2750000</v>
      </c>
      <c r="D39" s="346">
        <f t="shared" si="4"/>
        <v>788909.71144999994</v>
      </c>
      <c r="E39" s="347"/>
      <c r="F39" s="347"/>
      <c r="G39" s="347"/>
      <c r="H39" s="347"/>
      <c r="I39" s="347"/>
      <c r="J39" s="347"/>
      <c r="K39" s="347"/>
      <c r="L39" s="347"/>
      <c r="M39" s="347">
        <f>+'[17]NEW 3484'!$F$28</f>
        <v>1375000</v>
      </c>
      <c r="N39" s="347">
        <f>+'[17]NEW 3484'!$E$28</f>
        <v>398182.7762411111</v>
      </c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>
        <f>+'[17]NEW 3484'!$F$29</f>
        <v>1375000</v>
      </c>
      <c r="Z39" s="347">
        <f>+'[17]NEW 3484'!$E$29</f>
        <v>390726.93520888884</v>
      </c>
      <c r="AA39" s="347"/>
      <c r="AB39" s="347"/>
      <c r="AC39" s="347">
        <f t="shared" ref="AC39:AD39" si="5">E39+G39+I39+K39+M39+O39+Q39+S39+U39+W39+Y39+AA39</f>
        <v>2750000</v>
      </c>
      <c r="AD39" s="347">
        <f t="shared" si="5"/>
        <v>788909.71144999994</v>
      </c>
      <c r="AE39" s="146"/>
      <c r="AF39" s="146"/>
    </row>
    <row r="40" spans="1:32" x14ac:dyDescent="0.3">
      <c r="A40" s="364"/>
      <c r="B40" s="365"/>
      <c r="C40" s="365"/>
      <c r="D40" s="365"/>
      <c r="E40" s="366"/>
      <c r="F40" s="367"/>
      <c r="G40" s="366"/>
      <c r="H40" s="367"/>
      <c r="I40" s="366"/>
      <c r="J40" s="367"/>
      <c r="K40" s="366"/>
      <c r="L40" s="367"/>
      <c r="M40" s="366"/>
      <c r="N40" s="367"/>
      <c r="O40" s="366"/>
      <c r="P40" s="367"/>
      <c r="Q40" s="366"/>
      <c r="R40" s="367"/>
      <c r="S40" s="366"/>
      <c r="T40" s="367"/>
      <c r="U40" s="366"/>
      <c r="V40" s="367"/>
      <c r="W40" s="366"/>
      <c r="X40" s="367"/>
      <c r="Y40" s="366"/>
      <c r="Z40" s="367"/>
      <c r="AA40" s="366"/>
      <c r="AB40" s="367"/>
      <c r="AC40" s="146"/>
      <c r="AD40" s="146"/>
      <c r="AE40" s="146"/>
      <c r="AF40" s="146"/>
    </row>
    <row r="41" spans="1:32" x14ac:dyDescent="0.3">
      <c r="AE41" s="146"/>
      <c r="AF41" s="146"/>
    </row>
    <row r="42" spans="1:32" x14ac:dyDescent="0.3">
      <c r="AE42" s="146"/>
      <c r="AF42" s="146"/>
    </row>
    <row r="43" spans="1:32" ht="15" customHeight="1" x14ac:dyDescent="0.3">
      <c r="A43" s="383" t="s">
        <v>190</v>
      </c>
      <c r="B43" s="398" t="s">
        <v>204</v>
      </c>
      <c r="C43" s="400" t="s">
        <v>208</v>
      </c>
      <c r="D43" s="401"/>
      <c r="E43" s="395" t="s">
        <v>206</v>
      </c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6"/>
      <c r="Q43" s="396"/>
      <c r="R43" s="396"/>
      <c r="S43" s="396"/>
      <c r="T43" s="396"/>
      <c r="U43" s="396"/>
      <c r="V43" s="396"/>
      <c r="W43" s="396"/>
      <c r="X43" s="396"/>
      <c r="Y43" s="396"/>
      <c r="Z43" s="396"/>
      <c r="AA43" s="396"/>
      <c r="AB43" s="397"/>
      <c r="AC43" s="360"/>
      <c r="AD43" s="361"/>
      <c r="AE43" s="146"/>
      <c r="AF43" s="146"/>
    </row>
    <row r="44" spans="1:32" x14ac:dyDescent="0.3">
      <c r="A44" s="383"/>
      <c r="B44" s="399"/>
      <c r="C44" s="402"/>
      <c r="D44" s="403"/>
      <c r="E44" s="383" t="s">
        <v>20</v>
      </c>
      <c r="F44" s="383"/>
      <c r="G44" s="383" t="s">
        <v>21</v>
      </c>
      <c r="H44" s="383"/>
      <c r="I44" s="383" t="s">
        <v>22</v>
      </c>
      <c r="J44" s="383"/>
      <c r="K44" s="383" t="s">
        <v>23</v>
      </c>
      <c r="L44" s="383"/>
      <c r="M44" s="383" t="s">
        <v>24</v>
      </c>
      <c r="N44" s="383"/>
      <c r="O44" s="383" t="s">
        <v>25</v>
      </c>
      <c r="P44" s="383"/>
      <c r="Q44" s="383" t="s">
        <v>1</v>
      </c>
      <c r="R44" s="383"/>
      <c r="S44" s="383" t="s">
        <v>2</v>
      </c>
      <c r="T44" s="383"/>
      <c r="U44" s="383" t="s">
        <v>3</v>
      </c>
      <c r="V44" s="383"/>
      <c r="W44" s="383" t="s">
        <v>4</v>
      </c>
      <c r="X44" s="383"/>
      <c r="Y44" s="383" t="s">
        <v>5</v>
      </c>
      <c r="Z44" s="383"/>
      <c r="AA44" s="383" t="s">
        <v>6</v>
      </c>
      <c r="AB44" s="383"/>
      <c r="AC44" s="383" t="s">
        <v>19</v>
      </c>
      <c r="AD44" s="383"/>
      <c r="AE44" s="146"/>
      <c r="AF44" s="146"/>
    </row>
    <row r="45" spans="1:32" ht="33" customHeight="1" x14ac:dyDescent="0.3">
      <c r="A45" s="383"/>
      <c r="B45" s="399"/>
      <c r="C45" s="340" t="s">
        <v>37</v>
      </c>
      <c r="D45" s="340" t="s">
        <v>38</v>
      </c>
      <c r="E45" s="340" t="s">
        <v>37</v>
      </c>
      <c r="F45" s="340" t="s">
        <v>38</v>
      </c>
      <c r="G45" s="340" t="s">
        <v>37</v>
      </c>
      <c r="H45" s="340" t="s">
        <v>38</v>
      </c>
      <c r="I45" s="340" t="s">
        <v>37</v>
      </c>
      <c r="J45" s="340" t="s">
        <v>38</v>
      </c>
      <c r="K45" s="340" t="s">
        <v>37</v>
      </c>
      <c r="L45" s="340" t="s">
        <v>38</v>
      </c>
      <c r="M45" s="340" t="s">
        <v>37</v>
      </c>
      <c r="N45" s="340" t="s">
        <v>38</v>
      </c>
      <c r="O45" s="340" t="s">
        <v>37</v>
      </c>
      <c r="P45" s="340" t="s">
        <v>38</v>
      </c>
      <c r="Q45" s="340" t="s">
        <v>37</v>
      </c>
      <c r="R45" s="340" t="s">
        <v>38</v>
      </c>
      <c r="S45" s="340" t="s">
        <v>37</v>
      </c>
      <c r="T45" s="340" t="s">
        <v>38</v>
      </c>
      <c r="U45" s="340" t="s">
        <v>37</v>
      </c>
      <c r="V45" s="340" t="s">
        <v>38</v>
      </c>
      <c r="W45" s="340" t="s">
        <v>37</v>
      </c>
      <c r="X45" s="340" t="s">
        <v>38</v>
      </c>
      <c r="Y45" s="340" t="s">
        <v>37</v>
      </c>
      <c r="Z45" s="340" t="s">
        <v>38</v>
      </c>
      <c r="AA45" s="340" t="s">
        <v>37</v>
      </c>
      <c r="AB45" s="340" t="s">
        <v>38</v>
      </c>
      <c r="AC45" s="340" t="s">
        <v>37</v>
      </c>
      <c r="AD45" s="340" t="s">
        <v>38</v>
      </c>
      <c r="AE45" s="146"/>
      <c r="AF45" s="146"/>
    </row>
    <row r="46" spans="1:32" x14ac:dyDescent="0.3">
      <c r="A46" s="345" t="s">
        <v>195</v>
      </c>
      <c r="B46" s="346">
        <v>299.35649999999998</v>
      </c>
      <c r="C46" s="346">
        <f t="shared" ref="C46:AB47" si="6">+$B46*C38</f>
        <v>1441242538.7355471</v>
      </c>
      <c r="D46" s="346">
        <f t="shared" si="6"/>
        <v>1453702080.4829159</v>
      </c>
      <c r="E46" s="346">
        <f t="shared" si="6"/>
        <v>0</v>
      </c>
      <c r="F46" s="346">
        <f t="shared" si="6"/>
        <v>0</v>
      </c>
      <c r="G46" s="346">
        <f t="shared" si="6"/>
        <v>0</v>
      </c>
      <c r="H46" s="346">
        <f t="shared" si="6"/>
        <v>0</v>
      </c>
      <c r="I46" s="346">
        <f t="shared" si="6"/>
        <v>0</v>
      </c>
      <c r="J46" s="346">
        <f t="shared" si="6"/>
        <v>0</v>
      </c>
      <c r="K46" s="346">
        <f t="shared" si="6"/>
        <v>0</v>
      </c>
      <c r="L46" s="346">
        <f t="shared" si="6"/>
        <v>0</v>
      </c>
      <c r="M46" s="346">
        <f t="shared" si="6"/>
        <v>720621269.36777353</v>
      </c>
      <c r="N46" s="346">
        <f t="shared" si="6"/>
        <v>731726043.12873077</v>
      </c>
      <c r="O46" s="346">
        <f t="shared" si="6"/>
        <v>0</v>
      </c>
      <c r="P46" s="346">
        <f t="shared" si="6"/>
        <v>0</v>
      </c>
      <c r="Q46" s="346">
        <f t="shared" si="6"/>
        <v>0</v>
      </c>
      <c r="R46" s="346">
        <f t="shared" si="6"/>
        <v>0</v>
      </c>
      <c r="S46" s="346">
        <f t="shared" si="6"/>
        <v>0</v>
      </c>
      <c r="T46" s="346">
        <f t="shared" si="6"/>
        <v>0</v>
      </c>
      <c r="U46" s="346">
        <f t="shared" si="6"/>
        <v>0</v>
      </c>
      <c r="V46" s="346">
        <f t="shared" si="6"/>
        <v>0</v>
      </c>
      <c r="W46" s="346">
        <f t="shared" si="6"/>
        <v>0</v>
      </c>
      <c r="X46" s="346">
        <f t="shared" si="6"/>
        <v>0</v>
      </c>
      <c r="Y46" s="346">
        <f t="shared" si="6"/>
        <v>720621269.36777353</v>
      </c>
      <c r="Z46" s="346">
        <f t="shared" si="6"/>
        <v>721976037.35418499</v>
      </c>
      <c r="AA46" s="346">
        <f t="shared" si="6"/>
        <v>0</v>
      </c>
      <c r="AB46" s="346">
        <f t="shared" si="6"/>
        <v>0</v>
      </c>
      <c r="AC46" s="346">
        <f>E46+G46+I46+K46+M46+O46+Q46+S46+U46+W46+Y46+AA46</f>
        <v>1441242538.7355471</v>
      </c>
      <c r="AD46" s="346">
        <f>F46+H46+J46+L46+N46+P46+R46+T46+V46+X46+Z46+AB46</f>
        <v>1453702080.4829159</v>
      </c>
      <c r="AE46" s="146"/>
      <c r="AF46" s="146"/>
    </row>
    <row r="47" spans="1:32" x14ac:dyDescent="0.3">
      <c r="A47" s="345" t="s">
        <v>197</v>
      </c>
      <c r="B47" s="346">
        <v>299.35649999999998</v>
      </c>
      <c r="C47" s="346">
        <f t="shared" si="6"/>
        <v>823230375</v>
      </c>
      <c r="D47" s="346">
        <f t="shared" si="6"/>
        <v>236165250.0356819</v>
      </c>
      <c r="E47" s="346">
        <f t="shared" si="6"/>
        <v>0</v>
      </c>
      <c r="F47" s="346">
        <f t="shared" si="6"/>
        <v>0</v>
      </c>
      <c r="G47" s="346">
        <f t="shared" si="6"/>
        <v>0</v>
      </c>
      <c r="H47" s="346">
        <f t="shared" si="6"/>
        <v>0</v>
      </c>
      <c r="I47" s="346">
        <f t="shared" si="6"/>
        <v>0</v>
      </c>
      <c r="J47" s="346">
        <f t="shared" si="6"/>
        <v>0</v>
      </c>
      <c r="K47" s="346">
        <f t="shared" si="6"/>
        <v>0</v>
      </c>
      <c r="L47" s="346">
        <f t="shared" si="6"/>
        <v>0</v>
      </c>
      <c r="M47" s="346">
        <f t="shared" si="6"/>
        <v>411615187.5</v>
      </c>
      <c r="N47" s="346">
        <f t="shared" si="6"/>
        <v>119198602.25582217</v>
      </c>
      <c r="O47" s="346">
        <f t="shared" si="6"/>
        <v>0</v>
      </c>
      <c r="P47" s="346">
        <f t="shared" si="6"/>
        <v>0</v>
      </c>
      <c r="Q47" s="346">
        <f t="shared" si="6"/>
        <v>0</v>
      </c>
      <c r="R47" s="346">
        <f t="shared" si="6"/>
        <v>0</v>
      </c>
      <c r="S47" s="346">
        <f t="shared" si="6"/>
        <v>0</v>
      </c>
      <c r="T47" s="346">
        <f t="shared" si="6"/>
        <v>0</v>
      </c>
      <c r="U47" s="346">
        <f t="shared" si="6"/>
        <v>0</v>
      </c>
      <c r="V47" s="346">
        <f t="shared" si="6"/>
        <v>0</v>
      </c>
      <c r="W47" s="346">
        <f t="shared" si="6"/>
        <v>0</v>
      </c>
      <c r="X47" s="346">
        <f t="shared" si="6"/>
        <v>0</v>
      </c>
      <c r="Y47" s="346">
        <f t="shared" si="6"/>
        <v>411615187.5</v>
      </c>
      <c r="Z47" s="346">
        <f t="shared" si="6"/>
        <v>116966647.77985972</v>
      </c>
      <c r="AA47" s="346">
        <f t="shared" si="6"/>
        <v>0</v>
      </c>
      <c r="AB47" s="346">
        <f t="shared" si="6"/>
        <v>0</v>
      </c>
      <c r="AC47" s="346">
        <f t="shared" ref="AC47:AD48" si="7">E47+G47+I47+K47+M47+O47+Q47+S47+U47+W47+Y47+AA47</f>
        <v>823230375</v>
      </c>
      <c r="AD47" s="346">
        <f t="shared" si="7"/>
        <v>236165250.0356819</v>
      </c>
      <c r="AE47" s="146"/>
      <c r="AF47" s="146"/>
    </row>
    <row r="48" spans="1:32" x14ac:dyDescent="0.3">
      <c r="AC48" s="346">
        <f t="shared" si="7"/>
        <v>0</v>
      </c>
    </row>
    <row r="49" spans="3:4" x14ac:dyDescent="0.3">
      <c r="C49" s="108"/>
      <c r="D49" s="108"/>
    </row>
    <row r="50" spans="3:4" x14ac:dyDescent="0.3">
      <c r="C50" s="108"/>
      <c r="D50" s="108"/>
    </row>
  </sheetData>
  <mergeCells count="100">
    <mergeCell ref="AE2:AF2"/>
    <mergeCell ref="A2:A5"/>
    <mergeCell ref="B2:B5"/>
    <mergeCell ref="C2:C4"/>
    <mergeCell ref="D2:D4"/>
    <mergeCell ref="E2:H2"/>
    <mergeCell ref="Q2:R2"/>
    <mergeCell ref="E3:F3"/>
    <mergeCell ref="G3:H3"/>
    <mergeCell ref="I3:J3"/>
    <mergeCell ref="K3:L3"/>
    <mergeCell ref="S2:T2"/>
    <mergeCell ref="U2:V2"/>
    <mergeCell ref="W2:X2"/>
    <mergeCell ref="Y2:Z2"/>
    <mergeCell ref="AA2:AB2"/>
    <mergeCell ref="Y3:Z3"/>
    <mergeCell ref="AA3:AB3"/>
    <mergeCell ref="AC3:AD3"/>
    <mergeCell ref="AE3:AF3"/>
    <mergeCell ref="A14:A17"/>
    <mergeCell ref="B14:B17"/>
    <mergeCell ref="C14:C16"/>
    <mergeCell ref="D14:D16"/>
    <mergeCell ref="Q14:R14"/>
    <mergeCell ref="S14:T14"/>
    <mergeCell ref="M3:N3"/>
    <mergeCell ref="O3:P3"/>
    <mergeCell ref="Q3:R3"/>
    <mergeCell ref="S3:T3"/>
    <mergeCell ref="U3:V3"/>
    <mergeCell ref="W3:X3"/>
    <mergeCell ref="E15:F15"/>
    <mergeCell ref="G15:H15"/>
    <mergeCell ref="I15:J15"/>
    <mergeCell ref="K15:L15"/>
    <mergeCell ref="M15:N15"/>
    <mergeCell ref="U14:V14"/>
    <mergeCell ref="W14:X14"/>
    <mergeCell ref="Y14:Z14"/>
    <mergeCell ref="AA14:AB14"/>
    <mergeCell ref="AE14:AF14"/>
    <mergeCell ref="AA15:AB15"/>
    <mergeCell ref="AC15:AD15"/>
    <mergeCell ref="AE15:AF15"/>
    <mergeCell ref="E26:AB26"/>
    <mergeCell ref="AE26:AF27"/>
    <mergeCell ref="E27:F27"/>
    <mergeCell ref="G27:H27"/>
    <mergeCell ref="I27:J27"/>
    <mergeCell ref="K27:L27"/>
    <mergeCell ref="M27:N27"/>
    <mergeCell ref="O15:P15"/>
    <mergeCell ref="Q15:R15"/>
    <mergeCell ref="S15:T15"/>
    <mergeCell ref="U15:V15"/>
    <mergeCell ref="W15:X15"/>
    <mergeCell ref="Y15:Z15"/>
    <mergeCell ref="AA27:AB27"/>
    <mergeCell ref="AC27:AD27"/>
    <mergeCell ref="A35:A37"/>
    <mergeCell ref="B35:B37"/>
    <mergeCell ref="C35:D36"/>
    <mergeCell ref="E36:F36"/>
    <mergeCell ref="G36:H36"/>
    <mergeCell ref="I36:J36"/>
    <mergeCell ref="K36:L36"/>
    <mergeCell ref="M36:N36"/>
    <mergeCell ref="O27:P27"/>
    <mergeCell ref="Q27:R27"/>
    <mergeCell ref="S27:T27"/>
    <mergeCell ref="U27:V27"/>
    <mergeCell ref="W27:X27"/>
    <mergeCell ref="Y27:Z27"/>
    <mergeCell ref="Q36:R36"/>
    <mergeCell ref="S36:T36"/>
    <mergeCell ref="U36:V36"/>
    <mergeCell ref="W36:X36"/>
    <mergeCell ref="Y36:Z36"/>
    <mergeCell ref="A43:A45"/>
    <mergeCell ref="B43:B45"/>
    <mergeCell ref="C43:D44"/>
    <mergeCell ref="E44:F44"/>
    <mergeCell ref="G44:H44"/>
    <mergeCell ref="AA44:AB44"/>
    <mergeCell ref="AC44:AD44"/>
    <mergeCell ref="E35:AB35"/>
    <mergeCell ref="E43:AB43"/>
    <mergeCell ref="O44:P44"/>
    <mergeCell ref="Q44:R44"/>
    <mergeCell ref="S44:T44"/>
    <mergeCell ref="U44:V44"/>
    <mergeCell ref="W44:X44"/>
    <mergeCell ref="Y44:Z44"/>
    <mergeCell ref="AA36:AB36"/>
    <mergeCell ref="AC36:AD36"/>
    <mergeCell ref="I44:J44"/>
    <mergeCell ref="K44:L44"/>
    <mergeCell ref="M44:N44"/>
    <mergeCell ref="O36:P36"/>
  </mergeCells>
  <pageMargins left="0.2" right="0.19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55ECD-C236-4EC2-8F47-8D9791C668DC}">
  <dimension ref="A1:AN27"/>
  <sheetViews>
    <sheetView workbookViewId="0">
      <selection activeCell="J5" sqref="J5"/>
    </sheetView>
  </sheetViews>
  <sheetFormatPr defaultColWidth="9.1796875" defaultRowHeight="14" x14ac:dyDescent="0.3"/>
  <cols>
    <col min="1" max="1" width="38.7265625" style="16" customWidth="1"/>
    <col min="2" max="2" width="12.453125" style="16" customWidth="1"/>
    <col min="3" max="3" width="4.54296875" style="16" customWidth="1"/>
    <col min="4" max="4" width="17.26953125" style="16" customWidth="1"/>
    <col min="5" max="5" width="4.1796875" style="16" customWidth="1"/>
    <col min="6" max="6" width="44.81640625" style="16" customWidth="1"/>
    <col min="7" max="7" width="4.7265625" style="16" customWidth="1"/>
    <col min="8" max="8" width="18.7265625" style="16" customWidth="1"/>
    <col min="9" max="9" width="5.1796875" style="16" customWidth="1"/>
    <col min="10" max="10" width="19" style="16" customWidth="1"/>
    <col min="11" max="11" width="19.81640625" style="16" customWidth="1"/>
    <col min="12" max="12" width="22" style="16" customWidth="1"/>
    <col min="13" max="13" width="12" style="251" customWidth="1"/>
    <col min="14" max="14" width="19.7265625" style="16" customWidth="1"/>
    <col min="15" max="17" width="19.453125" style="16" customWidth="1"/>
    <col min="18" max="18" width="16.81640625" style="16" bestFit="1" customWidth="1"/>
    <col min="19" max="31" width="19.453125" style="16" customWidth="1"/>
    <col min="32" max="32" width="18.453125" style="16" customWidth="1"/>
    <col min="33" max="38" width="19.453125" style="16" customWidth="1"/>
    <col min="39" max="39" width="19.81640625" style="16" bestFit="1" customWidth="1"/>
    <col min="40" max="40" width="18.7265625" style="16" bestFit="1" customWidth="1"/>
    <col min="41" max="16384" width="9.1796875" style="16"/>
  </cols>
  <sheetData>
    <row r="1" spans="1:40" x14ac:dyDescent="0.3">
      <c r="A1" s="14" t="s">
        <v>125</v>
      </c>
      <c r="O1" s="108">
        <v>1000000</v>
      </c>
    </row>
    <row r="2" spans="1:40" x14ac:dyDescent="0.3">
      <c r="A2" s="417"/>
      <c r="B2" s="417"/>
      <c r="C2" s="417"/>
      <c r="D2" s="417"/>
      <c r="E2" s="417"/>
      <c r="F2" s="417"/>
      <c r="G2" s="417"/>
      <c r="H2" s="417"/>
      <c r="I2" s="417"/>
      <c r="J2" s="417"/>
      <c r="L2" s="16" t="s">
        <v>81</v>
      </c>
      <c r="M2" s="252">
        <v>9.2999999999999999E-2</v>
      </c>
    </row>
    <row r="3" spans="1:40" ht="40.5" customHeight="1" x14ac:dyDescent="0.3">
      <c r="A3" s="253" t="s">
        <v>126</v>
      </c>
      <c r="B3" s="254" t="s">
        <v>127</v>
      </c>
      <c r="C3" s="36"/>
      <c r="D3" s="254" t="s">
        <v>128</v>
      </c>
      <c r="E3" s="254"/>
      <c r="F3" s="254" t="s">
        <v>129</v>
      </c>
      <c r="G3" s="254"/>
      <c r="H3" s="254" t="s">
        <v>130</v>
      </c>
      <c r="I3" s="254"/>
      <c r="J3" s="254" t="s">
        <v>131</v>
      </c>
      <c r="K3" s="254" t="s">
        <v>132</v>
      </c>
      <c r="L3" s="254" t="s">
        <v>81</v>
      </c>
      <c r="M3" s="255" t="s">
        <v>133</v>
      </c>
      <c r="N3" s="254" t="s">
        <v>134</v>
      </c>
      <c r="O3" s="254" t="s">
        <v>85</v>
      </c>
      <c r="P3" s="254" t="s">
        <v>85</v>
      </c>
      <c r="Q3" s="254" t="s">
        <v>86</v>
      </c>
      <c r="R3" s="254" t="s">
        <v>86</v>
      </c>
      <c r="S3" s="254" t="s">
        <v>119</v>
      </c>
      <c r="T3" s="254" t="s">
        <v>119</v>
      </c>
      <c r="U3" s="254" t="s">
        <v>135</v>
      </c>
      <c r="V3" s="254" t="s">
        <v>135</v>
      </c>
      <c r="W3" s="254" t="s">
        <v>24</v>
      </c>
      <c r="X3" s="254" t="s">
        <v>24</v>
      </c>
      <c r="Y3" s="254" t="s">
        <v>25</v>
      </c>
      <c r="Z3" s="254" t="s">
        <v>136</v>
      </c>
      <c r="AA3" s="254" t="s">
        <v>137</v>
      </c>
      <c r="AB3" s="254" t="s">
        <v>1</v>
      </c>
      <c r="AC3" s="254" t="s">
        <v>138</v>
      </c>
      <c r="AD3" s="254" t="s">
        <v>138</v>
      </c>
      <c r="AE3" s="254" t="s">
        <v>120</v>
      </c>
      <c r="AF3" s="254" t="s">
        <v>120</v>
      </c>
      <c r="AG3" s="254" t="s">
        <v>121</v>
      </c>
      <c r="AH3" s="254" t="s">
        <v>121</v>
      </c>
      <c r="AI3" s="254" t="s">
        <v>122</v>
      </c>
      <c r="AJ3" s="254" t="s">
        <v>122</v>
      </c>
      <c r="AK3" s="254" t="s">
        <v>123</v>
      </c>
      <c r="AL3" s="254" t="s">
        <v>123</v>
      </c>
      <c r="AM3" s="254" t="s">
        <v>19</v>
      </c>
      <c r="AN3" s="254" t="s">
        <v>19</v>
      </c>
    </row>
    <row r="4" spans="1:40" ht="40.5" customHeight="1" x14ac:dyDescent="0.3">
      <c r="A4" s="253"/>
      <c r="B4" s="254"/>
      <c r="C4" s="36"/>
      <c r="D4" s="254"/>
      <c r="E4" s="254"/>
      <c r="F4" s="254"/>
      <c r="G4" s="254"/>
      <c r="H4" s="254"/>
      <c r="I4" s="254"/>
      <c r="J4" s="254"/>
      <c r="K4" s="254"/>
      <c r="L4" s="254"/>
      <c r="M4" s="255"/>
      <c r="N4" s="254"/>
      <c r="O4" s="256" t="s">
        <v>37</v>
      </c>
      <c r="P4" s="256" t="s">
        <v>38</v>
      </c>
      <c r="Q4" s="256" t="s">
        <v>37</v>
      </c>
      <c r="R4" s="256" t="s">
        <v>38</v>
      </c>
      <c r="S4" s="256" t="s">
        <v>37</v>
      </c>
      <c r="T4" s="256" t="s">
        <v>38</v>
      </c>
      <c r="U4" s="256" t="s">
        <v>37</v>
      </c>
      <c r="V4" s="256" t="s">
        <v>38</v>
      </c>
      <c r="W4" s="256" t="s">
        <v>37</v>
      </c>
      <c r="X4" s="256" t="s">
        <v>38</v>
      </c>
      <c r="Y4" s="256" t="s">
        <v>37</v>
      </c>
      <c r="Z4" s="256" t="s">
        <v>38</v>
      </c>
      <c r="AA4" s="256" t="s">
        <v>37</v>
      </c>
      <c r="AB4" s="256" t="s">
        <v>38</v>
      </c>
      <c r="AC4" s="256" t="s">
        <v>37</v>
      </c>
      <c r="AD4" s="256" t="s">
        <v>38</v>
      </c>
      <c r="AE4" s="256" t="s">
        <v>37</v>
      </c>
      <c r="AF4" s="256" t="s">
        <v>38</v>
      </c>
      <c r="AG4" s="256" t="s">
        <v>37</v>
      </c>
      <c r="AH4" s="256" t="s">
        <v>38</v>
      </c>
      <c r="AI4" s="256" t="s">
        <v>37</v>
      </c>
      <c r="AJ4" s="256" t="s">
        <v>38</v>
      </c>
      <c r="AK4" s="256" t="s">
        <v>37</v>
      </c>
      <c r="AL4" s="256" t="s">
        <v>38</v>
      </c>
      <c r="AM4" s="256" t="s">
        <v>37</v>
      </c>
      <c r="AN4" s="256" t="s">
        <v>38</v>
      </c>
    </row>
    <row r="5" spans="1:40" s="172" customFormat="1" x14ac:dyDescent="0.3">
      <c r="A5" s="271" t="s">
        <v>139</v>
      </c>
      <c r="B5" s="270" t="s">
        <v>140</v>
      </c>
      <c r="C5" s="271"/>
      <c r="D5" s="272">
        <v>1740000000</v>
      </c>
      <c r="E5" s="271"/>
      <c r="F5" s="272"/>
      <c r="G5" s="271"/>
      <c r="H5" s="272">
        <v>1260000000</v>
      </c>
      <c r="I5" s="273"/>
      <c r="J5" s="272">
        <v>480000000</v>
      </c>
      <c r="K5" s="274">
        <f>140000000*3</f>
        <v>420000000</v>
      </c>
      <c r="L5" s="274" t="s">
        <v>141</v>
      </c>
      <c r="M5" s="275">
        <v>2.5000000000000001E-2</v>
      </c>
      <c r="N5" s="274">
        <v>60</v>
      </c>
      <c r="O5" s="171">
        <v>60</v>
      </c>
      <c r="P5" s="171">
        <v>0.59</v>
      </c>
      <c r="Q5" s="164">
        <v>0</v>
      </c>
      <c r="R5" s="164">
        <v>0</v>
      </c>
      <c r="S5" s="164">
        <v>0</v>
      </c>
      <c r="T5" s="164">
        <v>0</v>
      </c>
      <c r="U5" s="164">
        <v>0</v>
      </c>
      <c r="V5" s="164">
        <v>0</v>
      </c>
      <c r="W5" s="164">
        <v>0</v>
      </c>
      <c r="X5" s="164">
        <v>0</v>
      </c>
      <c r="Y5" s="164">
        <v>0</v>
      </c>
      <c r="Z5" s="164">
        <v>0</v>
      </c>
      <c r="AA5" s="164">
        <v>0</v>
      </c>
      <c r="AB5" s="164">
        <v>0</v>
      </c>
      <c r="AC5" s="164">
        <v>0</v>
      </c>
      <c r="AD5" s="164">
        <v>0</v>
      </c>
      <c r="AE5" s="164">
        <v>0</v>
      </c>
      <c r="AF5" s="164">
        <v>0</v>
      </c>
      <c r="AG5" s="164">
        <v>0</v>
      </c>
      <c r="AH5" s="164">
        <v>0</v>
      </c>
      <c r="AI5" s="164">
        <v>0</v>
      </c>
      <c r="AJ5" s="164">
        <v>0</v>
      </c>
      <c r="AK5" s="164">
        <v>0</v>
      </c>
      <c r="AL5" s="164">
        <v>0</v>
      </c>
      <c r="AM5" s="276">
        <f t="shared" ref="AM5:AN20" si="0">O5+Q5+S5+U5+W5+Y5+AA5+AC5+AE5+AG5+AI5+AK5</f>
        <v>60</v>
      </c>
      <c r="AN5" s="276">
        <f t="shared" si="0"/>
        <v>0.59</v>
      </c>
    </row>
    <row r="6" spans="1:40" s="172" customFormat="1" x14ac:dyDescent="0.3">
      <c r="A6" s="271" t="s">
        <v>142</v>
      </c>
      <c r="B6" s="270" t="s">
        <v>143</v>
      </c>
      <c r="C6" s="271"/>
      <c r="D6" s="277">
        <v>1240999999.9799995</v>
      </c>
      <c r="E6" s="271"/>
      <c r="F6" s="272"/>
      <c r="G6" s="271"/>
      <c r="H6" s="272">
        <v>783000000</v>
      </c>
      <c r="I6" s="273"/>
      <c r="J6" s="272">
        <v>457999999.97999954</v>
      </c>
      <c r="K6" s="274">
        <f>87000000*3</f>
        <v>261000000</v>
      </c>
      <c r="L6" s="274" t="s">
        <v>141</v>
      </c>
      <c r="M6" s="275">
        <v>2.5000000000000001E-2</v>
      </c>
      <c r="N6" s="274">
        <v>196.99999997999953</v>
      </c>
      <c r="O6" s="274">
        <v>87</v>
      </c>
      <c r="P6" s="171">
        <v>1.9371666664699951</v>
      </c>
      <c r="Q6" s="274">
        <v>87</v>
      </c>
      <c r="R6" s="171">
        <v>1.0816666664699954</v>
      </c>
      <c r="S6" s="171">
        <v>22.999999979999544</v>
      </c>
      <c r="T6" s="171">
        <v>0.22616666646999548</v>
      </c>
      <c r="U6" s="164">
        <v>0</v>
      </c>
      <c r="V6" s="164">
        <v>0</v>
      </c>
      <c r="W6" s="164">
        <v>0</v>
      </c>
      <c r="X6" s="164">
        <v>0</v>
      </c>
      <c r="Y6" s="164">
        <v>0</v>
      </c>
      <c r="Z6" s="164">
        <v>0</v>
      </c>
      <c r="AA6" s="164">
        <v>0</v>
      </c>
      <c r="AB6" s="164">
        <v>0</v>
      </c>
      <c r="AC6" s="164">
        <v>0</v>
      </c>
      <c r="AD6" s="164">
        <v>0</v>
      </c>
      <c r="AE6" s="164">
        <v>0</v>
      </c>
      <c r="AF6" s="164">
        <v>0</v>
      </c>
      <c r="AG6" s="164">
        <v>0</v>
      </c>
      <c r="AH6" s="164">
        <v>0</v>
      </c>
      <c r="AI6" s="164">
        <v>0</v>
      </c>
      <c r="AJ6" s="164">
        <v>0</v>
      </c>
      <c r="AK6" s="164">
        <v>0</v>
      </c>
      <c r="AL6" s="164">
        <v>0</v>
      </c>
      <c r="AM6" s="276">
        <f t="shared" si="0"/>
        <v>196.99999997999953</v>
      </c>
      <c r="AN6" s="276">
        <f t="shared" si="0"/>
        <v>3.2449999994099858</v>
      </c>
    </row>
    <row r="7" spans="1:40" s="172" customFormat="1" x14ac:dyDescent="0.3">
      <c r="A7" s="271" t="s">
        <v>144</v>
      </c>
      <c r="B7" s="270" t="s">
        <v>145</v>
      </c>
      <c r="C7" s="271"/>
      <c r="D7" s="277">
        <v>27800000000</v>
      </c>
      <c r="E7" s="271"/>
      <c r="F7" s="272"/>
      <c r="G7" s="271"/>
      <c r="H7" s="272">
        <v>4100000000</v>
      </c>
      <c r="I7" s="273"/>
      <c r="J7" s="272">
        <v>23700000000</v>
      </c>
      <c r="K7" s="274">
        <v>1500000000</v>
      </c>
      <c r="L7" s="274" t="s">
        <v>141</v>
      </c>
      <c r="M7" s="275">
        <v>2.5000000000000001E-2</v>
      </c>
      <c r="N7" s="274">
        <v>22200</v>
      </c>
      <c r="O7" s="274">
        <v>500</v>
      </c>
      <c r="P7" s="171">
        <v>218.3</v>
      </c>
      <c r="Q7" s="274">
        <v>500</v>
      </c>
      <c r="R7" s="171">
        <v>213.38333333333335</v>
      </c>
      <c r="S7" s="274">
        <v>500</v>
      </c>
      <c r="T7" s="171">
        <v>208.46666666666667</v>
      </c>
      <c r="U7" s="274">
        <v>500</v>
      </c>
      <c r="V7" s="171">
        <v>203.55</v>
      </c>
      <c r="W7" s="274">
        <v>500</v>
      </c>
      <c r="X7" s="171">
        <v>198.63333333333335</v>
      </c>
      <c r="Y7" s="274">
        <v>500</v>
      </c>
      <c r="Z7" s="171">
        <v>193.71666666666667</v>
      </c>
      <c r="AA7" s="274">
        <v>500</v>
      </c>
      <c r="AB7" s="171">
        <v>188.8</v>
      </c>
      <c r="AC7" s="274">
        <v>500</v>
      </c>
      <c r="AD7" s="171">
        <v>183.88333333333335</v>
      </c>
      <c r="AE7" s="274">
        <v>500</v>
      </c>
      <c r="AF7" s="171">
        <v>178.96666666666667</v>
      </c>
      <c r="AG7" s="274">
        <v>500</v>
      </c>
      <c r="AH7" s="171">
        <v>174.05</v>
      </c>
      <c r="AI7" s="274">
        <v>500</v>
      </c>
      <c r="AJ7" s="171">
        <v>169.13333333333335</v>
      </c>
      <c r="AK7" s="274">
        <v>500</v>
      </c>
      <c r="AL7" s="171">
        <v>164.21666666666667</v>
      </c>
      <c r="AM7" s="276">
        <f t="shared" si="0"/>
        <v>6000</v>
      </c>
      <c r="AN7" s="276">
        <f t="shared" si="0"/>
        <v>2295.1000000000004</v>
      </c>
    </row>
    <row r="8" spans="1:40" x14ac:dyDescent="0.3">
      <c r="A8" s="257" t="s">
        <v>146</v>
      </c>
      <c r="B8" s="262" t="s">
        <v>147</v>
      </c>
      <c r="C8" s="257"/>
      <c r="D8" s="261">
        <v>9240000000</v>
      </c>
      <c r="E8" s="257"/>
      <c r="F8" s="258"/>
      <c r="G8" s="257"/>
      <c r="H8" s="258">
        <v>2225000000</v>
      </c>
      <c r="I8" s="259"/>
      <c r="J8" s="258">
        <v>7015000000</v>
      </c>
      <c r="K8" s="132">
        <f>J8-N8</f>
        <v>7014993828</v>
      </c>
      <c r="L8" s="132" t="s">
        <v>148</v>
      </c>
      <c r="M8" s="260">
        <v>1.4999999999999999E-2</v>
      </c>
      <c r="N8" s="132">
        <v>6172</v>
      </c>
      <c r="O8" s="132">
        <v>281</v>
      </c>
      <c r="P8" s="43">
        <v>55.548000000000002</v>
      </c>
      <c r="Q8" s="132">
        <v>281</v>
      </c>
      <c r="R8" s="43">
        <v>53.018999999999998</v>
      </c>
      <c r="S8" s="132">
        <v>281</v>
      </c>
      <c r="T8" s="43">
        <v>50.49</v>
      </c>
      <c r="U8" s="132">
        <v>281</v>
      </c>
      <c r="V8" s="43">
        <v>47.960999999999999</v>
      </c>
      <c r="W8" s="132">
        <v>281</v>
      </c>
      <c r="X8" s="43">
        <v>45.432000000000002</v>
      </c>
      <c r="Y8" s="132">
        <v>281</v>
      </c>
      <c r="Z8" s="43">
        <v>42.902999999999999</v>
      </c>
      <c r="AA8" s="132">
        <v>281</v>
      </c>
      <c r="AB8" s="43">
        <v>40.374000000000002</v>
      </c>
      <c r="AC8" s="132">
        <v>281</v>
      </c>
      <c r="AD8" s="43">
        <v>37.844999999999999</v>
      </c>
      <c r="AE8" s="132">
        <v>327</v>
      </c>
      <c r="AF8" s="43">
        <v>35.316000000000003</v>
      </c>
      <c r="AG8" s="132">
        <v>327</v>
      </c>
      <c r="AH8" s="43">
        <v>32.372999999999998</v>
      </c>
      <c r="AI8" s="132">
        <v>327</v>
      </c>
      <c r="AJ8" s="43">
        <v>29.43</v>
      </c>
      <c r="AK8" s="132">
        <v>327</v>
      </c>
      <c r="AL8" s="43">
        <v>26.486999999999998</v>
      </c>
      <c r="AM8" s="48">
        <f t="shared" si="0"/>
        <v>3556</v>
      </c>
      <c r="AN8" s="48">
        <f t="shared" si="0"/>
        <v>497.17800000000017</v>
      </c>
    </row>
    <row r="9" spans="1:40" x14ac:dyDescent="0.3">
      <c r="A9" s="257" t="s">
        <v>149</v>
      </c>
      <c r="B9" s="262" t="s">
        <v>150</v>
      </c>
      <c r="C9" s="257"/>
      <c r="D9" s="258">
        <v>1296000000</v>
      </c>
      <c r="E9" s="257"/>
      <c r="F9" s="261"/>
      <c r="G9" s="257"/>
      <c r="H9" s="258">
        <f>D9-J9</f>
        <v>441000000</v>
      </c>
      <c r="I9" s="259"/>
      <c r="J9" s="258">
        <v>855000000</v>
      </c>
      <c r="K9" s="132">
        <f>J9-N9</f>
        <v>854999334</v>
      </c>
      <c r="L9" s="132" t="s">
        <v>148</v>
      </c>
      <c r="M9" s="260">
        <v>0.02</v>
      </c>
      <c r="N9" s="132">
        <v>666</v>
      </c>
      <c r="O9" s="43">
        <v>63</v>
      </c>
      <c r="P9" s="43">
        <v>6.2714999999999996</v>
      </c>
      <c r="Q9" s="132">
        <v>67</v>
      </c>
      <c r="R9" s="43">
        <v>5.6782500000000002</v>
      </c>
      <c r="S9" s="132">
        <v>67</v>
      </c>
      <c r="T9" s="43">
        <v>5.0473333333333334</v>
      </c>
      <c r="U9" s="132">
        <v>67</v>
      </c>
      <c r="V9" s="43">
        <v>4.4164166666666667</v>
      </c>
      <c r="W9" s="132">
        <v>67</v>
      </c>
      <c r="X9" s="43">
        <v>3.7854999999999999</v>
      </c>
      <c r="Y9" s="132">
        <v>67</v>
      </c>
      <c r="Z9" s="43">
        <v>3.1545833333333335</v>
      </c>
      <c r="AA9" s="132">
        <v>67</v>
      </c>
      <c r="AB9" s="43">
        <v>2.5236666666666667</v>
      </c>
      <c r="AC9" s="132">
        <v>67</v>
      </c>
      <c r="AD9" s="43">
        <v>1.8927499999999999</v>
      </c>
      <c r="AE9" s="132">
        <v>67</v>
      </c>
      <c r="AF9" s="43">
        <v>1.2618333333333334</v>
      </c>
      <c r="AG9" s="132">
        <v>67</v>
      </c>
      <c r="AH9" s="43">
        <v>0.63091666666666668</v>
      </c>
      <c r="AI9" s="36">
        <v>0</v>
      </c>
      <c r="AJ9" s="43">
        <v>0</v>
      </c>
      <c r="AK9" s="36">
        <v>0</v>
      </c>
      <c r="AL9" s="43">
        <v>0</v>
      </c>
      <c r="AM9" s="48">
        <f t="shared" si="0"/>
        <v>666</v>
      </c>
      <c r="AN9" s="48">
        <f t="shared" si="0"/>
        <v>34.662750000000003</v>
      </c>
    </row>
    <row r="10" spans="1:40" x14ac:dyDescent="0.3">
      <c r="A10" s="257" t="s">
        <v>151</v>
      </c>
      <c r="B10" s="262" t="s">
        <v>152</v>
      </c>
      <c r="C10" s="257"/>
      <c r="D10" s="258">
        <v>4580000000</v>
      </c>
      <c r="E10" s="257"/>
      <c r="F10" s="261"/>
      <c r="G10" s="257"/>
      <c r="H10" s="258">
        <v>270000000</v>
      </c>
      <c r="I10" s="259"/>
      <c r="J10" s="258">
        <v>4310000000</v>
      </c>
      <c r="K10" s="132">
        <f>J10-N10</f>
        <v>4309995720</v>
      </c>
      <c r="L10" s="132" t="s">
        <v>148</v>
      </c>
      <c r="M10" s="260">
        <v>1.4999999999999999E-2</v>
      </c>
      <c r="N10" s="132">
        <v>4280</v>
      </c>
      <c r="O10" s="132">
        <v>10</v>
      </c>
      <c r="P10" s="43">
        <v>38.520000000000003</v>
      </c>
      <c r="Q10" s="132">
        <v>10</v>
      </c>
      <c r="R10" s="43">
        <v>38.43</v>
      </c>
      <c r="S10" s="132">
        <v>10</v>
      </c>
      <c r="T10" s="43">
        <v>38.340000000000003</v>
      </c>
      <c r="U10" s="132">
        <v>30</v>
      </c>
      <c r="V10" s="43">
        <v>38.25</v>
      </c>
      <c r="W10" s="132">
        <v>30</v>
      </c>
      <c r="X10" s="43">
        <v>37.979999999999997</v>
      </c>
      <c r="Y10" s="132">
        <v>30</v>
      </c>
      <c r="Z10" s="43">
        <v>37.71</v>
      </c>
      <c r="AA10" s="132">
        <v>30</v>
      </c>
      <c r="AB10" s="43">
        <v>37.44</v>
      </c>
      <c r="AC10" s="132">
        <v>30</v>
      </c>
      <c r="AD10" s="43">
        <v>37.17</v>
      </c>
      <c r="AE10" s="132">
        <v>30</v>
      </c>
      <c r="AF10" s="43">
        <v>36.9</v>
      </c>
      <c r="AG10" s="132">
        <v>1</v>
      </c>
      <c r="AH10" s="43">
        <v>36.630000000000003</v>
      </c>
      <c r="AI10" s="132">
        <v>1</v>
      </c>
      <c r="AJ10" s="43">
        <v>36.621000000000002</v>
      </c>
      <c r="AK10" s="132">
        <v>1</v>
      </c>
      <c r="AL10" s="43">
        <v>36.612000000000002</v>
      </c>
      <c r="AM10" s="48">
        <f t="shared" si="0"/>
        <v>213</v>
      </c>
      <c r="AN10" s="48">
        <f t="shared" si="0"/>
        <v>450.60300000000001</v>
      </c>
    </row>
    <row r="11" spans="1:40" s="172" customFormat="1" x14ac:dyDescent="0.3">
      <c r="A11" s="271" t="s">
        <v>153</v>
      </c>
      <c r="B11" s="278" t="s">
        <v>154</v>
      </c>
      <c r="C11" s="271"/>
      <c r="D11" s="272">
        <v>9058333333.3400002</v>
      </c>
      <c r="E11" s="271"/>
      <c r="F11" s="277"/>
      <c r="G11" s="271"/>
      <c r="H11" s="272">
        <v>1550000000</v>
      </c>
      <c r="I11" s="273"/>
      <c r="J11" s="272">
        <v>7508333333.3400002</v>
      </c>
      <c r="K11" s="274">
        <f>250000000*3</f>
        <v>750000000</v>
      </c>
      <c r="L11" s="274" t="s">
        <v>141</v>
      </c>
      <c r="M11" s="275">
        <v>2.5000000000000001E-2</v>
      </c>
      <c r="N11" s="274">
        <v>6758.3333333400005</v>
      </c>
      <c r="O11" s="274">
        <v>150</v>
      </c>
      <c r="P11" s="171">
        <v>66.45694444451</v>
      </c>
      <c r="Q11" s="274">
        <v>150</v>
      </c>
      <c r="R11" s="171">
        <v>64.981944444510006</v>
      </c>
      <c r="S11" s="274">
        <v>150</v>
      </c>
      <c r="T11" s="171">
        <v>63.506944444510005</v>
      </c>
      <c r="U11" s="274">
        <v>250</v>
      </c>
      <c r="V11" s="171">
        <v>62.031944444510003</v>
      </c>
      <c r="W11" s="274">
        <v>250</v>
      </c>
      <c r="X11" s="171">
        <v>59.573611111176668</v>
      </c>
      <c r="Y11" s="274">
        <v>250</v>
      </c>
      <c r="Z11" s="171">
        <v>57.115277777843332</v>
      </c>
      <c r="AA11" s="274">
        <v>250</v>
      </c>
      <c r="AB11" s="171">
        <v>54.656944444510003</v>
      </c>
      <c r="AC11" s="274">
        <v>250</v>
      </c>
      <c r="AD11" s="171">
        <v>52.198611111176668</v>
      </c>
      <c r="AE11" s="274">
        <v>250</v>
      </c>
      <c r="AF11" s="171">
        <v>49.740277777843332</v>
      </c>
      <c r="AG11" s="274">
        <v>250</v>
      </c>
      <c r="AH11" s="171">
        <v>47.281944444510003</v>
      </c>
      <c r="AI11" s="274">
        <v>250</v>
      </c>
      <c r="AJ11" s="171">
        <v>44.823611111176668</v>
      </c>
      <c r="AK11" s="274">
        <v>250</v>
      </c>
      <c r="AL11" s="171">
        <v>42.365277777843332</v>
      </c>
      <c r="AM11" s="276">
        <f t="shared" si="0"/>
        <v>2700</v>
      </c>
      <c r="AN11" s="276">
        <f t="shared" si="0"/>
        <v>664.73333333411995</v>
      </c>
    </row>
    <row r="12" spans="1:40" x14ac:dyDescent="0.3">
      <c r="A12" s="257" t="s">
        <v>155</v>
      </c>
      <c r="B12" s="262" t="s">
        <v>156</v>
      </c>
      <c r="C12" s="257"/>
      <c r="D12" s="258">
        <v>5000000000</v>
      </c>
      <c r="E12" s="257"/>
      <c r="F12" s="261"/>
      <c r="G12" s="257"/>
      <c r="H12" s="258">
        <v>500000000</v>
      </c>
      <c r="I12" s="259"/>
      <c r="J12" s="258">
        <v>4500000000</v>
      </c>
      <c r="K12" s="132">
        <v>500000000</v>
      </c>
      <c r="L12" s="132" t="s">
        <v>157</v>
      </c>
      <c r="M12" s="260">
        <v>1.4999999999999999E-2</v>
      </c>
      <c r="N12" s="132">
        <v>4000</v>
      </c>
      <c r="O12" s="36">
        <v>0</v>
      </c>
      <c r="P12" s="43">
        <v>0</v>
      </c>
      <c r="Q12" s="36">
        <v>0</v>
      </c>
      <c r="R12" s="43">
        <v>0</v>
      </c>
      <c r="S12" s="36">
        <v>0</v>
      </c>
      <c r="T12" s="43">
        <v>0</v>
      </c>
      <c r="U12" s="36">
        <v>0</v>
      </c>
      <c r="V12" s="43">
        <v>0</v>
      </c>
      <c r="W12" s="36">
        <v>0</v>
      </c>
      <c r="X12" s="43">
        <v>0</v>
      </c>
      <c r="Y12" s="132">
        <v>500</v>
      </c>
      <c r="Z12" s="43">
        <v>216</v>
      </c>
      <c r="AA12" s="36">
        <v>0</v>
      </c>
      <c r="AB12" s="43">
        <v>0</v>
      </c>
      <c r="AC12" s="36">
        <v>0</v>
      </c>
      <c r="AD12" s="43">
        <v>0</v>
      </c>
      <c r="AE12" s="36">
        <v>0</v>
      </c>
      <c r="AF12" s="43">
        <v>0</v>
      </c>
      <c r="AG12" s="36">
        <v>0</v>
      </c>
      <c r="AH12" s="43">
        <v>0</v>
      </c>
      <c r="AI12" s="36">
        <v>0</v>
      </c>
      <c r="AJ12" s="43">
        <v>0</v>
      </c>
      <c r="AK12" s="132">
        <v>500</v>
      </c>
      <c r="AL12" s="43">
        <v>189</v>
      </c>
      <c r="AM12" s="48">
        <f t="shared" si="0"/>
        <v>1000</v>
      </c>
      <c r="AN12" s="48">
        <f t="shared" si="0"/>
        <v>405</v>
      </c>
    </row>
    <row r="13" spans="1:40" x14ac:dyDescent="0.3">
      <c r="A13" s="257" t="s">
        <v>158</v>
      </c>
      <c r="B13" s="262" t="s">
        <v>159</v>
      </c>
      <c r="C13" s="257"/>
      <c r="D13" s="258">
        <v>1625000000</v>
      </c>
      <c r="E13" s="257"/>
      <c r="F13" s="258"/>
      <c r="G13" s="257"/>
      <c r="H13" s="258">
        <v>562500000</v>
      </c>
      <c r="I13" s="259"/>
      <c r="J13" s="258">
        <v>1062500000</v>
      </c>
      <c r="K13" s="132">
        <f>J13-N13</f>
        <v>1062499125</v>
      </c>
      <c r="L13" s="132" t="s">
        <v>148</v>
      </c>
      <c r="M13" s="260">
        <v>1.4E-2</v>
      </c>
      <c r="N13" s="132">
        <v>875</v>
      </c>
      <c r="O13" s="132">
        <v>62.5</v>
      </c>
      <c r="P13" s="43">
        <v>7.802083333333333</v>
      </c>
      <c r="Q13" s="132">
        <v>62.5</v>
      </c>
      <c r="R13" s="43">
        <v>7.244791666666667</v>
      </c>
      <c r="S13" s="132">
        <v>62.5</v>
      </c>
      <c r="T13" s="43">
        <v>6.6875</v>
      </c>
      <c r="U13" s="132">
        <v>62.5</v>
      </c>
      <c r="V13" s="43">
        <v>6.130208333333333</v>
      </c>
      <c r="W13" s="132">
        <v>62.5</v>
      </c>
      <c r="X13" s="43">
        <v>5.572916666666667</v>
      </c>
      <c r="Y13" s="132">
        <v>62.5</v>
      </c>
      <c r="Z13" s="43">
        <v>5.015625</v>
      </c>
      <c r="AA13" s="132">
        <v>62.5</v>
      </c>
      <c r="AB13" s="43">
        <v>4.458333333333333</v>
      </c>
      <c r="AC13" s="132">
        <v>62.5</v>
      </c>
      <c r="AD13" s="43">
        <v>3.9010416666666665</v>
      </c>
      <c r="AE13" s="132">
        <v>62.5</v>
      </c>
      <c r="AF13" s="43">
        <v>3.34375</v>
      </c>
      <c r="AG13" s="132">
        <v>62.5</v>
      </c>
      <c r="AH13" s="43">
        <v>2.7864583333333335</v>
      </c>
      <c r="AI13" s="132">
        <v>62.5</v>
      </c>
      <c r="AJ13" s="43">
        <v>2.2291666666666665</v>
      </c>
      <c r="AK13" s="132">
        <v>62.5</v>
      </c>
      <c r="AL13" s="43">
        <v>1.671875</v>
      </c>
      <c r="AM13" s="48">
        <f t="shared" si="0"/>
        <v>750</v>
      </c>
      <c r="AN13" s="48">
        <f t="shared" si="0"/>
        <v>56.84375</v>
      </c>
    </row>
    <row r="14" spans="1:40" s="172" customFormat="1" x14ac:dyDescent="0.3">
      <c r="A14" s="271" t="s">
        <v>160</v>
      </c>
      <c r="B14" s="278" t="s">
        <v>161</v>
      </c>
      <c r="C14" s="271"/>
      <c r="D14" s="272">
        <v>15937500000</v>
      </c>
      <c r="E14" s="271"/>
      <c r="F14" s="272"/>
      <c r="G14" s="271"/>
      <c r="H14" s="272">
        <v>3187500000</v>
      </c>
      <c r="I14" s="273"/>
      <c r="J14" s="272">
        <v>12750000000</v>
      </c>
      <c r="K14" s="274">
        <v>1062500000</v>
      </c>
      <c r="L14" s="274" t="s">
        <v>141</v>
      </c>
      <c r="M14" s="275">
        <v>2.5000000000000001E-2</v>
      </c>
      <c r="N14" s="274">
        <v>11687.5</v>
      </c>
      <c r="O14" s="164">
        <v>0</v>
      </c>
      <c r="P14" s="171">
        <v>114.92708333333333</v>
      </c>
      <c r="Q14" s="164">
        <v>0</v>
      </c>
      <c r="R14" s="171">
        <v>114.92708333333333</v>
      </c>
      <c r="S14" s="274">
        <v>1062.5</v>
      </c>
      <c r="T14" s="171">
        <v>114.92708333333333</v>
      </c>
      <c r="U14" s="164">
        <v>0</v>
      </c>
      <c r="V14" s="171">
        <v>104.47916666666667</v>
      </c>
      <c r="W14" s="164">
        <v>0</v>
      </c>
      <c r="X14" s="171">
        <v>104.47916666666667</v>
      </c>
      <c r="Y14" s="274">
        <v>1062.5</v>
      </c>
      <c r="Z14" s="171">
        <v>104.47916666666667</v>
      </c>
      <c r="AA14" s="164">
        <v>0</v>
      </c>
      <c r="AB14" s="171">
        <v>94.03125</v>
      </c>
      <c r="AC14" s="164">
        <v>0</v>
      </c>
      <c r="AD14" s="171">
        <v>94.03125</v>
      </c>
      <c r="AE14" s="274">
        <v>1062.5</v>
      </c>
      <c r="AF14" s="171">
        <v>94.03125</v>
      </c>
      <c r="AG14" s="164">
        <v>0</v>
      </c>
      <c r="AH14" s="171">
        <v>83.583333333333329</v>
      </c>
      <c r="AI14" s="164">
        <v>0</v>
      </c>
      <c r="AJ14" s="171">
        <v>83.583333333333329</v>
      </c>
      <c r="AK14" s="274">
        <v>1062.5</v>
      </c>
      <c r="AL14" s="171">
        <v>83.583333333333329</v>
      </c>
      <c r="AM14" s="276">
        <f t="shared" si="0"/>
        <v>4250</v>
      </c>
      <c r="AN14" s="276">
        <f t="shared" si="0"/>
        <v>1191.0625</v>
      </c>
    </row>
    <row r="15" spans="1:40" x14ac:dyDescent="0.3">
      <c r="A15" s="257" t="s">
        <v>162</v>
      </c>
      <c r="B15" s="262" t="s">
        <v>163</v>
      </c>
      <c r="C15" s="257"/>
      <c r="D15" s="258">
        <v>2000000000</v>
      </c>
      <c r="E15" s="257"/>
      <c r="F15" s="258"/>
      <c r="G15" s="257"/>
      <c r="H15" s="258">
        <f>D15-J15</f>
        <v>249999996</v>
      </c>
      <c r="I15" s="259"/>
      <c r="J15" s="258">
        <v>1750000004</v>
      </c>
      <c r="K15" s="132">
        <f>J15-N15</f>
        <v>1749998378.999994</v>
      </c>
      <c r="L15" s="132" t="s">
        <v>148</v>
      </c>
      <c r="M15" s="260">
        <v>0.02</v>
      </c>
      <c r="N15" s="132">
        <v>1625.000006</v>
      </c>
      <c r="O15" s="43">
        <v>41.666665999999999</v>
      </c>
      <c r="P15" s="43">
        <v>15.302083389833333</v>
      </c>
      <c r="Q15" s="43">
        <v>41.666665999999999</v>
      </c>
      <c r="R15" s="43">
        <v>14.909722285000003</v>
      </c>
      <c r="S15" s="43">
        <v>41.666665999999999</v>
      </c>
      <c r="T15" s="43">
        <v>14.517361180166667</v>
      </c>
      <c r="U15" s="43">
        <v>41.666665999999999</v>
      </c>
      <c r="V15" s="43">
        <v>14.125000075333334</v>
      </c>
      <c r="W15" s="43">
        <v>41.666665999999999</v>
      </c>
      <c r="X15" s="43">
        <v>13.7326389705</v>
      </c>
      <c r="Y15" s="43">
        <v>41.666665999999999</v>
      </c>
      <c r="Z15" s="43">
        <v>13.340277865666668</v>
      </c>
      <c r="AA15" s="43">
        <v>41.666665999999999</v>
      </c>
      <c r="AB15" s="43">
        <v>12.947916760833332</v>
      </c>
      <c r="AC15" s="43">
        <v>41.666665999999999</v>
      </c>
      <c r="AD15" s="43">
        <v>12.555555656000001</v>
      </c>
      <c r="AE15" s="43">
        <v>41.666665999999999</v>
      </c>
      <c r="AF15" s="43">
        <v>12.163194551166667</v>
      </c>
      <c r="AG15" s="43">
        <v>41.666665999999999</v>
      </c>
      <c r="AH15" s="43">
        <v>11.770833446333334</v>
      </c>
      <c r="AI15" s="43">
        <v>41.666665999999999</v>
      </c>
      <c r="AJ15" s="43">
        <v>11.378472341499998</v>
      </c>
      <c r="AK15" s="43">
        <v>41.666665999999999</v>
      </c>
      <c r="AL15" s="43">
        <v>10.986111236666666</v>
      </c>
      <c r="AM15" s="48">
        <f t="shared" si="0"/>
        <v>499.99999200000008</v>
      </c>
      <c r="AN15" s="48">
        <f t="shared" si="0"/>
        <v>157.72916775899998</v>
      </c>
    </row>
    <row r="16" spans="1:40" x14ac:dyDescent="0.3">
      <c r="A16" s="257" t="s">
        <v>164</v>
      </c>
      <c r="B16" s="262" t="s">
        <v>165</v>
      </c>
      <c r="C16" s="257"/>
      <c r="D16" s="258">
        <v>1666666658</v>
      </c>
      <c r="E16" s="257"/>
      <c r="F16" s="258"/>
      <c r="G16" s="257"/>
      <c r="H16" s="258">
        <v>1500000003</v>
      </c>
      <c r="I16" s="259"/>
      <c r="J16" s="258">
        <v>166666655</v>
      </c>
      <c r="K16" s="132">
        <f>J16</f>
        <v>166666655</v>
      </c>
      <c r="L16" s="132" t="s">
        <v>148</v>
      </c>
      <c r="M16" s="260">
        <v>1.4E-2</v>
      </c>
      <c r="N16" s="132">
        <v>0</v>
      </c>
      <c r="O16" s="36">
        <v>0</v>
      </c>
      <c r="P16" s="43">
        <v>0</v>
      </c>
      <c r="Q16" s="36">
        <v>0</v>
      </c>
      <c r="R16" s="43">
        <v>0</v>
      </c>
      <c r="S16" s="36">
        <v>0</v>
      </c>
      <c r="T16" s="43">
        <v>0</v>
      </c>
      <c r="U16" s="36">
        <v>0</v>
      </c>
      <c r="V16" s="43">
        <v>0</v>
      </c>
      <c r="W16" s="36">
        <v>0</v>
      </c>
      <c r="X16" s="43">
        <v>0</v>
      </c>
      <c r="Y16" s="36">
        <v>0</v>
      </c>
      <c r="Z16" s="43">
        <v>0</v>
      </c>
      <c r="AA16" s="36">
        <v>0</v>
      </c>
      <c r="AB16" s="43">
        <v>0</v>
      </c>
      <c r="AC16" s="36">
        <v>0</v>
      </c>
      <c r="AD16" s="43">
        <v>0</v>
      </c>
      <c r="AE16" s="36">
        <v>0</v>
      </c>
      <c r="AF16" s="43">
        <v>0</v>
      </c>
      <c r="AG16" s="36">
        <v>0</v>
      </c>
      <c r="AH16" s="43">
        <v>0</v>
      </c>
      <c r="AI16" s="36">
        <v>0</v>
      </c>
      <c r="AJ16" s="43">
        <v>0</v>
      </c>
      <c r="AK16" s="36">
        <v>0</v>
      </c>
      <c r="AL16" s="43">
        <v>0</v>
      </c>
      <c r="AM16" s="48">
        <f t="shared" si="0"/>
        <v>0</v>
      </c>
      <c r="AN16" s="48">
        <f t="shared" si="0"/>
        <v>0</v>
      </c>
    </row>
    <row r="17" spans="1:40" x14ac:dyDescent="0.3">
      <c r="A17" s="257" t="s">
        <v>166</v>
      </c>
      <c r="B17" s="262" t="s">
        <v>167</v>
      </c>
      <c r="C17" s="257"/>
      <c r="D17" s="258">
        <v>1665923305.95</v>
      </c>
      <c r="E17" s="257"/>
      <c r="F17" s="258">
        <v>697083636.5</v>
      </c>
      <c r="G17" s="257"/>
      <c r="H17" s="258">
        <v>450000000</v>
      </c>
      <c r="I17" s="259"/>
      <c r="J17" s="258">
        <v>1913006942.4499998</v>
      </c>
      <c r="K17" s="132">
        <f>-336993057.55+150000000</f>
        <v>-186993057.55000001</v>
      </c>
      <c r="L17" s="132" t="s">
        <v>148</v>
      </c>
      <c r="M17" s="260">
        <v>0.02</v>
      </c>
      <c r="N17" s="132">
        <v>2099.9999999999995</v>
      </c>
      <c r="O17" s="132">
        <v>50</v>
      </c>
      <c r="P17" s="43">
        <v>19.774999999999995</v>
      </c>
      <c r="Q17" s="132">
        <v>50</v>
      </c>
      <c r="R17" s="43">
        <v>19.304166666666664</v>
      </c>
      <c r="S17" s="132">
        <v>50</v>
      </c>
      <c r="T17" s="43">
        <v>18.833333333333332</v>
      </c>
      <c r="U17" s="132">
        <v>50</v>
      </c>
      <c r="V17" s="43">
        <v>18.362499999999997</v>
      </c>
      <c r="W17" s="132">
        <v>50</v>
      </c>
      <c r="X17" s="43">
        <v>17.891666666666666</v>
      </c>
      <c r="Y17" s="132">
        <v>50</v>
      </c>
      <c r="Z17" s="43">
        <v>17.420833333333331</v>
      </c>
      <c r="AA17" s="132">
        <v>50</v>
      </c>
      <c r="AB17" s="43">
        <v>16.949999999999996</v>
      </c>
      <c r="AC17" s="132">
        <v>50</v>
      </c>
      <c r="AD17" s="43">
        <v>16.479166666666664</v>
      </c>
      <c r="AE17" s="132">
        <v>50</v>
      </c>
      <c r="AF17" s="43">
        <v>16.008333333333329</v>
      </c>
      <c r="AG17" s="132">
        <v>50</v>
      </c>
      <c r="AH17" s="43">
        <v>15.537499999999998</v>
      </c>
      <c r="AI17" s="132">
        <v>50</v>
      </c>
      <c r="AJ17" s="43">
        <v>15.066666666666665</v>
      </c>
      <c r="AK17" s="132">
        <v>50</v>
      </c>
      <c r="AL17" s="43">
        <v>14.59583333333333</v>
      </c>
      <c r="AM17" s="48">
        <f t="shared" si="0"/>
        <v>600</v>
      </c>
      <c r="AN17" s="48">
        <f t="shared" si="0"/>
        <v>206.22499999999997</v>
      </c>
    </row>
    <row r="18" spans="1:40" x14ac:dyDescent="0.3">
      <c r="A18" s="257" t="s">
        <v>168</v>
      </c>
      <c r="B18" s="262" t="s">
        <v>169</v>
      </c>
      <c r="C18" s="257"/>
      <c r="D18" s="258">
        <v>1444444440</v>
      </c>
      <c r="E18" s="257"/>
      <c r="F18" s="258"/>
      <c r="G18" s="257"/>
      <c r="H18" s="258">
        <v>1000000008</v>
      </c>
      <c r="I18" s="259"/>
      <c r="J18" s="258">
        <v>444444432</v>
      </c>
      <c r="K18" s="132">
        <f>J18-N18</f>
        <v>444444320.88890398</v>
      </c>
      <c r="L18" s="132" t="s">
        <v>148</v>
      </c>
      <c r="M18" s="260">
        <v>1.4E-2</v>
      </c>
      <c r="N18" s="132">
        <v>111.111096</v>
      </c>
      <c r="O18" s="43">
        <v>111.111096</v>
      </c>
      <c r="P18" s="43">
        <v>0.99074060600000002</v>
      </c>
      <c r="Q18" s="36">
        <v>0</v>
      </c>
      <c r="R18" s="43">
        <v>0</v>
      </c>
      <c r="S18" s="36">
        <v>0</v>
      </c>
      <c r="T18" s="43">
        <v>0</v>
      </c>
      <c r="U18" s="36">
        <v>0</v>
      </c>
      <c r="V18" s="43">
        <v>0</v>
      </c>
      <c r="W18" s="36">
        <v>0</v>
      </c>
      <c r="X18" s="43">
        <v>0</v>
      </c>
      <c r="Y18" s="36">
        <v>0</v>
      </c>
      <c r="Z18" s="43">
        <v>0</v>
      </c>
      <c r="AA18" s="36">
        <v>0</v>
      </c>
      <c r="AB18" s="43">
        <v>0</v>
      </c>
      <c r="AC18" s="36">
        <v>0</v>
      </c>
      <c r="AD18" s="43">
        <v>0</v>
      </c>
      <c r="AE18" s="36">
        <v>0</v>
      </c>
      <c r="AF18" s="43">
        <v>0</v>
      </c>
      <c r="AG18" s="36">
        <v>0</v>
      </c>
      <c r="AH18" s="43">
        <v>0</v>
      </c>
      <c r="AI18" s="36">
        <v>0</v>
      </c>
      <c r="AJ18" s="43">
        <v>0</v>
      </c>
      <c r="AK18" s="36">
        <v>0</v>
      </c>
      <c r="AL18" s="43">
        <v>0</v>
      </c>
      <c r="AM18" s="48">
        <f t="shared" si="0"/>
        <v>111.111096</v>
      </c>
      <c r="AN18" s="48">
        <f t="shared" si="0"/>
        <v>0.99074060600000002</v>
      </c>
    </row>
    <row r="19" spans="1:40" x14ac:dyDescent="0.3">
      <c r="A19" s="257" t="s">
        <v>170</v>
      </c>
      <c r="B19" s="262" t="s">
        <v>171</v>
      </c>
      <c r="C19" s="257"/>
      <c r="D19" s="258">
        <v>0</v>
      </c>
      <c r="E19" s="257"/>
      <c r="F19" s="258">
        <v>3000000000</v>
      </c>
      <c r="G19" s="257"/>
      <c r="H19" s="258">
        <v>1002000000</v>
      </c>
      <c r="I19" s="259"/>
      <c r="J19" s="258">
        <v>1998000000</v>
      </c>
      <c r="K19" s="132">
        <f>J19-N19</f>
        <v>1997998503</v>
      </c>
      <c r="L19" s="132" t="s">
        <v>148</v>
      </c>
      <c r="M19" s="260">
        <v>1.4E-2</v>
      </c>
      <c r="N19" s="132">
        <v>1497</v>
      </c>
      <c r="O19" s="132">
        <v>167</v>
      </c>
      <c r="P19" s="43">
        <v>13.34825</v>
      </c>
      <c r="Q19" s="132">
        <v>167</v>
      </c>
      <c r="R19" s="43">
        <v>11.859166666666667</v>
      </c>
      <c r="S19" s="132">
        <v>167</v>
      </c>
      <c r="T19" s="43">
        <v>10.370083333333334</v>
      </c>
      <c r="U19" s="132">
        <v>167</v>
      </c>
      <c r="V19" s="43">
        <v>8.8810000000000002</v>
      </c>
      <c r="W19" s="132">
        <v>167</v>
      </c>
      <c r="X19" s="43">
        <v>7.3919166666666669</v>
      </c>
      <c r="Y19" s="132">
        <v>167</v>
      </c>
      <c r="Z19" s="43">
        <v>5.9028333333333327</v>
      </c>
      <c r="AA19" s="132">
        <v>167</v>
      </c>
      <c r="AB19" s="43">
        <v>4.4137500000000003</v>
      </c>
      <c r="AC19" s="132">
        <v>167</v>
      </c>
      <c r="AD19" s="43">
        <v>2.9246666666666665</v>
      </c>
      <c r="AE19" s="132">
        <v>161</v>
      </c>
      <c r="AF19" s="43">
        <v>1.4355833333333332</v>
      </c>
      <c r="AG19" s="36">
        <v>0</v>
      </c>
      <c r="AH19" s="43">
        <v>0</v>
      </c>
      <c r="AI19" s="36">
        <v>0</v>
      </c>
      <c r="AJ19" s="43">
        <v>0</v>
      </c>
      <c r="AK19" s="36">
        <v>0</v>
      </c>
      <c r="AL19" s="43">
        <v>0</v>
      </c>
      <c r="AM19" s="48">
        <f t="shared" si="0"/>
        <v>1497</v>
      </c>
      <c r="AN19" s="48">
        <f t="shared" si="0"/>
        <v>66.527249999999995</v>
      </c>
    </row>
    <row r="20" spans="1:40" x14ac:dyDescent="0.3">
      <c r="A20" s="257" t="s">
        <v>172</v>
      </c>
      <c r="B20" s="262"/>
      <c r="C20" s="257"/>
      <c r="D20" s="258">
        <v>0</v>
      </c>
      <c r="E20" s="257"/>
      <c r="F20" s="258">
        <v>1000000000</v>
      </c>
      <c r="G20" s="257"/>
      <c r="H20" s="258">
        <v>168000000</v>
      </c>
      <c r="I20" s="259"/>
      <c r="J20" s="258">
        <v>832000000</v>
      </c>
      <c r="K20" s="132">
        <f>J20-N20</f>
        <v>831999336</v>
      </c>
      <c r="L20" s="132" t="s">
        <v>148</v>
      </c>
      <c r="M20" s="260">
        <v>1.4E-2</v>
      </c>
      <c r="N20" s="132">
        <v>664</v>
      </c>
      <c r="O20" s="132">
        <v>56</v>
      </c>
      <c r="P20" s="43">
        <v>5.9206666666666674</v>
      </c>
      <c r="Q20" s="132">
        <v>56</v>
      </c>
      <c r="R20" s="43">
        <v>5.4213333333333331</v>
      </c>
      <c r="S20" s="132">
        <v>56</v>
      </c>
      <c r="T20" s="43">
        <v>4.9219999999999997</v>
      </c>
      <c r="U20" s="132">
        <v>56</v>
      </c>
      <c r="V20" s="43">
        <v>4.4226666666666672</v>
      </c>
      <c r="W20" s="132">
        <v>56</v>
      </c>
      <c r="X20" s="43">
        <v>3.9233333333333333</v>
      </c>
      <c r="Y20" s="132">
        <v>56</v>
      </c>
      <c r="Z20" s="43">
        <v>3.4239999999999999</v>
      </c>
      <c r="AA20" s="132">
        <v>56</v>
      </c>
      <c r="AB20" s="43">
        <v>2.9246666666666665</v>
      </c>
      <c r="AC20" s="132">
        <v>56</v>
      </c>
      <c r="AD20" s="43">
        <v>2.4253333333333336</v>
      </c>
      <c r="AE20" s="132">
        <v>56</v>
      </c>
      <c r="AF20" s="43">
        <v>1.9259999999999999</v>
      </c>
      <c r="AG20" s="132">
        <v>56</v>
      </c>
      <c r="AH20" s="43">
        <v>1.4266666666666667</v>
      </c>
      <c r="AI20" s="132">
        <v>56</v>
      </c>
      <c r="AJ20" s="43">
        <v>0.92733333333333334</v>
      </c>
      <c r="AK20" s="132">
        <v>48</v>
      </c>
      <c r="AL20" s="43">
        <v>0.42799999999999999</v>
      </c>
      <c r="AM20" s="48">
        <f t="shared" si="0"/>
        <v>664</v>
      </c>
      <c r="AN20" s="48">
        <f t="shared" si="0"/>
        <v>38.091999999999999</v>
      </c>
    </row>
    <row r="21" spans="1:40" x14ac:dyDescent="0.3">
      <c r="A21" s="257" t="s">
        <v>173</v>
      </c>
      <c r="B21" s="263" t="s">
        <v>174</v>
      </c>
      <c r="C21" s="257"/>
      <c r="D21" s="258"/>
      <c r="E21" s="257"/>
      <c r="F21" s="258"/>
      <c r="G21" s="257"/>
      <c r="H21" s="258"/>
      <c r="I21" s="259"/>
      <c r="J21" s="258"/>
      <c r="K21" s="132"/>
      <c r="L21" s="132" t="s">
        <v>148</v>
      </c>
      <c r="M21" s="260">
        <v>0.02</v>
      </c>
      <c r="N21" s="132">
        <v>0</v>
      </c>
      <c r="O21" s="36">
        <v>0</v>
      </c>
      <c r="P21" s="43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132">
        <v>416.66666600000002</v>
      </c>
      <c r="AF21" s="132">
        <v>188.33333333333334</v>
      </c>
      <c r="AG21" s="132">
        <v>416.66666600000002</v>
      </c>
      <c r="AH21" s="132">
        <v>184.40972222850002</v>
      </c>
      <c r="AI21" s="132">
        <v>416.66666700000002</v>
      </c>
      <c r="AJ21" s="132">
        <v>180.48611112366666</v>
      </c>
      <c r="AK21" s="132">
        <v>416.66666800000002</v>
      </c>
      <c r="AL21" s="132">
        <v>176.56249999058332</v>
      </c>
      <c r="AM21" s="48">
        <f t="shared" ref="AM21:AN21" si="1">O21+Q21+S21+U21+W21+Y21+AA21+AC21+AE21+AG21+AI21+AK21</f>
        <v>1666.6666670000002</v>
      </c>
      <c r="AN21" s="48">
        <f t="shared" si="1"/>
        <v>729.79166667608331</v>
      </c>
    </row>
    <row r="22" spans="1:40" x14ac:dyDescent="0.3">
      <c r="A22" s="257"/>
      <c r="B22" s="264"/>
      <c r="C22" s="265"/>
      <c r="D22" s="258">
        <f>SUM(D5:D20)</f>
        <v>84294867737.269989</v>
      </c>
      <c r="E22" s="258"/>
      <c r="F22" s="258">
        <f>SUM(E5:F20)</f>
        <v>4697083636.5</v>
      </c>
      <c r="G22" s="258"/>
      <c r="H22" s="258">
        <f>SUM(H5:H20)</f>
        <v>19249000007</v>
      </c>
      <c r="I22" s="258"/>
      <c r="J22" s="258">
        <f>SUM(J5:J20)</f>
        <v>69742951366.769989</v>
      </c>
      <c r="K22" s="258">
        <f t="shared" ref="K22" si="2">SUM(K5:K20)</f>
        <v>22740102143.338898</v>
      </c>
      <c r="L22" s="258"/>
      <c r="M22" s="266"/>
      <c r="N22" s="267">
        <f>SUM(N5:N21)</f>
        <v>62892.944435320002</v>
      </c>
      <c r="O22" s="48">
        <f>SUM(O5:O21)</f>
        <v>1639.2777620000002</v>
      </c>
      <c r="P22" s="48">
        <f t="shared" ref="P22:AL22" si="3">SUM(P5:P21)</f>
        <v>565.68951844014657</v>
      </c>
      <c r="Q22" s="48">
        <f t="shared" si="3"/>
        <v>1472.1666660000001</v>
      </c>
      <c r="R22" s="48">
        <f t="shared" si="3"/>
        <v>550.24045839598</v>
      </c>
      <c r="S22" s="48">
        <f t="shared" si="3"/>
        <v>2470.6666659799994</v>
      </c>
      <c r="T22" s="48">
        <f t="shared" si="3"/>
        <v>536.33447229114665</v>
      </c>
      <c r="U22" s="48">
        <f t="shared" si="3"/>
        <v>1505.1666660000001</v>
      </c>
      <c r="V22" s="48">
        <f t="shared" si="3"/>
        <v>512.60990285317678</v>
      </c>
      <c r="W22" s="48">
        <f t="shared" si="3"/>
        <v>1505.1666660000001</v>
      </c>
      <c r="X22" s="48">
        <f t="shared" si="3"/>
        <v>498.39608341501003</v>
      </c>
      <c r="Y22" s="48">
        <f t="shared" si="3"/>
        <v>3067.6666660000001</v>
      </c>
      <c r="Z22" s="48">
        <f t="shared" si="3"/>
        <v>700.18226397684327</v>
      </c>
      <c r="AA22" s="48">
        <f t="shared" si="3"/>
        <v>1505.1666660000001</v>
      </c>
      <c r="AB22" s="48">
        <f t="shared" si="3"/>
        <v>459.52052787200995</v>
      </c>
      <c r="AC22" s="48">
        <f t="shared" si="3"/>
        <v>1505.1666660000001</v>
      </c>
      <c r="AD22" s="48">
        <f t="shared" si="3"/>
        <v>445.30670843384343</v>
      </c>
      <c r="AE22" s="48">
        <f t="shared" si="3"/>
        <v>3024.3333320000002</v>
      </c>
      <c r="AF22" s="48">
        <f t="shared" si="3"/>
        <v>619.42622232900999</v>
      </c>
      <c r="AG22" s="48">
        <f t="shared" si="3"/>
        <v>1771.8333320000002</v>
      </c>
      <c r="AH22" s="48">
        <f t="shared" si="3"/>
        <v>590.48037511934331</v>
      </c>
      <c r="AI22" s="48">
        <f t="shared" si="3"/>
        <v>1704.833333</v>
      </c>
      <c r="AJ22" s="48">
        <f t="shared" si="3"/>
        <v>573.67902790967673</v>
      </c>
      <c r="AK22" s="48">
        <f t="shared" si="3"/>
        <v>3259.3333339999999</v>
      </c>
      <c r="AL22" s="48">
        <f t="shared" si="3"/>
        <v>746.50859733842663</v>
      </c>
      <c r="AM22" s="48">
        <f>SUM(AM5:AM21)</f>
        <v>24430.777754980001</v>
      </c>
      <c r="AN22" s="48">
        <f>SUM(AN5:AN21)</f>
        <v>6798.3741583746132</v>
      </c>
    </row>
    <row r="23" spans="1:40" x14ac:dyDescent="0.3">
      <c r="AE23" s="146"/>
    </row>
    <row r="24" spans="1:40" x14ac:dyDescent="0.3">
      <c r="A24" s="268"/>
      <c r="D24" s="269"/>
      <c r="J24" s="146"/>
      <c r="K24" s="146"/>
      <c r="L24" s="146"/>
    </row>
    <row r="25" spans="1:40" x14ac:dyDescent="0.3">
      <c r="F25" s="146"/>
    </row>
    <row r="26" spans="1:40" x14ac:dyDescent="0.3">
      <c r="D26" s="16">
        <f>20000/(12*4)</f>
        <v>416.66666666666669</v>
      </c>
      <c r="F26" s="108"/>
      <c r="N26" s="108">
        <v>62892944435.32</v>
      </c>
      <c r="O26" s="108">
        <v>1639277762</v>
      </c>
      <c r="P26" s="108">
        <v>565689518.44014645</v>
      </c>
      <c r="Q26" s="108">
        <v>1472166666</v>
      </c>
      <c r="R26" s="108">
        <v>550240458.39598</v>
      </c>
      <c r="S26" s="108">
        <v>2470666665.9799995</v>
      </c>
      <c r="T26" s="108">
        <v>536334472.29114658</v>
      </c>
      <c r="U26" s="108">
        <v>1505166666</v>
      </c>
      <c r="V26" s="108">
        <v>512609902.85317665</v>
      </c>
      <c r="W26" s="108">
        <v>1505166666</v>
      </c>
      <c r="X26" s="108">
        <v>498396083.41501009</v>
      </c>
      <c r="Y26" s="108">
        <v>3067666666</v>
      </c>
      <c r="Z26" s="108">
        <v>700182263.97684336</v>
      </c>
      <c r="AA26" s="108">
        <v>1505166666</v>
      </c>
      <c r="AB26" s="108">
        <v>459520527.87200993</v>
      </c>
      <c r="AC26" s="108">
        <v>1505166666</v>
      </c>
      <c r="AD26" s="108">
        <v>445306708.43384337</v>
      </c>
      <c r="AE26" s="108">
        <v>3024333332</v>
      </c>
      <c r="AF26" s="108">
        <v>619426222.32901001</v>
      </c>
      <c r="AG26" s="108">
        <v>1771833332</v>
      </c>
      <c r="AH26" s="108">
        <v>590480375.11934328</v>
      </c>
      <c r="AI26" s="108">
        <v>1704833333</v>
      </c>
      <c r="AJ26" s="108">
        <v>573679027.90967667</v>
      </c>
      <c r="AK26" s="108">
        <v>3259333334</v>
      </c>
      <c r="AL26" s="108">
        <v>746508597.33842671</v>
      </c>
      <c r="AM26" s="108">
        <v>24430777754.98</v>
      </c>
      <c r="AN26" s="108">
        <v>6798374158.3746138</v>
      </c>
    </row>
    <row r="27" spans="1:40" x14ac:dyDescent="0.3">
      <c r="F27" s="146"/>
    </row>
  </sheetData>
  <mergeCells count="1">
    <mergeCell ref="A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52ED0-15DA-4478-91E7-711F59595F6D}">
  <sheetPr>
    <tabColor rgb="FFFFFF00"/>
  </sheetPr>
  <dimension ref="A1:AB27"/>
  <sheetViews>
    <sheetView topLeftCell="A10" workbookViewId="0">
      <selection activeCell="O22" sqref="O22:Z22"/>
    </sheetView>
  </sheetViews>
  <sheetFormatPr defaultColWidth="9.1796875" defaultRowHeight="14" x14ac:dyDescent="0.3"/>
  <cols>
    <col min="1" max="1" width="38.7265625" style="16" customWidth="1"/>
    <col min="2" max="2" width="12.453125" style="16" customWidth="1"/>
    <col min="3" max="3" width="4.54296875" style="16" customWidth="1"/>
    <col min="4" max="4" width="17.26953125" style="16" customWidth="1"/>
    <col min="5" max="5" width="4.1796875" style="16" customWidth="1"/>
    <col min="6" max="6" width="17.54296875" style="16" customWidth="1"/>
    <col min="7" max="7" width="4.7265625" style="16" customWidth="1"/>
    <col min="8" max="8" width="18.7265625" style="16" customWidth="1"/>
    <col min="9" max="9" width="5.1796875" style="16" customWidth="1"/>
    <col min="10" max="10" width="19" style="16" customWidth="1"/>
    <col min="11" max="11" width="19.81640625" style="16" hidden="1" customWidth="1"/>
    <col min="12" max="12" width="22" style="16" hidden="1" customWidth="1"/>
    <col min="13" max="13" width="12" style="251" hidden="1" customWidth="1"/>
    <col min="14" max="14" width="19.7265625" style="16" customWidth="1"/>
    <col min="15" max="15" width="19.453125" style="16" customWidth="1"/>
    <col min="16" max="16" width="16.81640625" style="16" bestFit="1" customWidth="1"/>
    <col min="17" max="22" width="19.453125" style="16" customWidth="1"/>
    <col min="23" max="23" width="18.453125" style="16" customWidth="1"/>
    <col min="24" max="26" width="19.453125" style="16" customWidth="1"/>
    <col min="27" max="27" width="19.81640625" style="16" bestFit="1" customWidth="1"/>
    <col min="28" max="28" width="18.7265625" style="16" bestFit="1" customWidth="1"/>
    <col min="29" max="16384" width="9.1796875" style="16"/>
  </cols>
  <sheetData>
    <row r="1" spans="1:28" x14ac:dyDescent="0.3">
      <c r="A1" s="14" t="s">
        <v>125</v>
      </c>
      <c r="L1" s="16">
        <v>1000000</v>
      </c>
    </row>
    <row r="2" spans="1:28" x14ac:dyDescent="0.3">
      <c r="A2" s="417"/>
      <c r="B2" s="417"/>
      <c r="C2" s="417"/>
      <c r="D2" s="417"/>
      <c r="E2" s="417"/>
      <c r="F2" s="417"/>
      <c r="G2" s="417"/>
      <c r="H2" s="417"/>
      <c r="I2" s="417"/>
      <c r="J2" s="417"/>
      <c r="L2" s="16" t="s">
        <v>81</v>
      </c>
      <c r="M2" s="252">
        <v>9.2999999999999999E-2</v>
      </c>
    </row>
    <row r="3" spans="1:28" ht="40.5" customHeight="1" x14ac:dyDescent="0.3">
      <c r="A3" s="253" t="s">
        <v>126</v>
      </c>
      <c r="B3" s="254" t="s">
        <v>127</v>
      </c>
      <c r="C3" s="36"/>
      <c r="D3" s="254" t="s">
        <v>128</v>
      </c>
      <c r="E3" s="254"/>
      <c r="F3" s="254" t="s">
        <v>129</v>
      </c>
      <c r="G3" s="254"/>
      <c r="H3" s="254" t="s">
        <v>130</v>
      </c>
      <c r="I3" s="254"/>
      <c r="J3" s="254" t="s">
        <v>131</v>
      </c>
      <c r="K3" s="254" t="s">
        <v>132</v>
      </c>
      <c r="L3" s="254" t="s">
        <v>81</v>
      </c>
      <c r="M3" s="255" t="s">
        <v>133</v>
      </c>
      <c r="N3" s="254" t="s">
        <v>134</v>
      </c>
      <c r="O3" s="254" t="s">
        <v>85</v>
      </c>
      <c r="P3" s="254" t="s">
        <v>86</v>
      </c>
      <c r="Q3" s="254" t="s">
        <v>119</v>
      </c>
      <c r="R3" s="254" t="s">
        <v>135</v>
      </c>
      <c r="S3" s="254" t="s">
        <v>24</v>
      </c>
      <c r="T3" s="254" t="s">
        <v>136</v>
      </c>
      <c r="U3" s="254" t="s">
        <v>1</v>
      </c>
      <c r="V3" s="254" t="s">
        <v>138</v>
      </c>
      <c r="W3" s="254" t="s">
        <v>120</v>
      </c>
      <c r="X3" s="254" t="s">
        <v>121</v>
      </c>
      <c r="Y3" s="254" t="s">
        <v>122</v>
      </c>
      <c r="Z3" s="254" t="s">
        <v>123</v>
      </c>
      <c r="AA3" s="254" t="s">
        <v>19</v>
      </c>
      <c r="AB3" s="254" t="s">
        <v>19</v>
      </c>
    </row>
    <row r="4" spans="1:28" ht="40.5" customHeight="1" x14ac:dyDescent="0.3">
      <c r="A4" s="253"/>
      <c r="B4" s="254"/>
      <c r="C4" s="36"/>
      <c r="D4" s="254"/>
      <c r="E4" s="254"/>
      <c r="F4" s="254"/>
      <c r="G4" s="254"/>
      <c r="H4" s="254"/>
      <c r="I4" s="254"/>
      <c r="J4" s="254"/>
      <c r="K4" s="254"/>
      <c r="L4" s="254"/>
      <c r="M4" s="255"/>
      <c r="N4" s="254"/>
      <c r="O4" s="256" t="s">
        <v>38</v>
      </c>
      <c r="P4" s="256" t="s">
        <v>38</v>
      </c>
      <c r="Q4" s="256" t="s">
        <v>38</v>
      </c>
      <c r="R4" s="256" t="s">
        <v>38</v>
      </c>
      <c r="S4" s="256" t="s">
        <v>38</v>
      </c>
      <c r="T4" s="256" t="s">
        <v>38</v>
      </c>
      <c r="U4" s="256" t="s">
        <v>38</v>
      </c>
      <c r="V4" s="256" t="s">
        <v>38</v>
      </c>
      <c r="W4" s="256" t="s">
        <v>38</v>
      </c>
      <c r="X4" s="256" t="s">
        <v>38</v>
      </c>
      <c r="Y4" s="256" t="s">
        <v>38</v>
      </c>
      <c r="Z4" s="256" t="s">
        <v>38</v>
      </c>
      <c r="AA4" s="256" t="s">
        <v>37</v>
      </c>
      <c r="AB4" s="256" t="s">
        <v>38</v>
      </c>
    </row>
    <row r="5" spans="1:28" s="172" customFormat="1" x14ac:dyDescent="0.3">
      <c r="A5" s="271" t="s">
        <v>139</v>
      </c>
      <c r="B5" s="270" t="s">
        <v>140</v>
      </c>
      <c r="C5" s="271"/>
      <c r="D5" s="272">
        <v>1740000000</v>
      </c>
      <c r="E5" s="271"/>
      <c r="F5" s="272"/>
      <c r="G5" s="271"/>
      <c r="H5" s="272">
        <v>1260000000</v>
      </c>
      <c r="I5" s="273"/>
      <c r="J5" s="272">
        <v>480</v>
      </c>
      <c r="K5" s="274">
        <f>140000000*3</f>
        <v>420000000</v>
      </c>
      <c r="L5" s="274" t="s">
        <v>141</v>
      </c>
      <c r="M5" s="275">
        <v>2.5000000000000001E-2</v>
      </c>
      <c r="N5" s="274">
        <v>60</v>
      </c>
      <c r="O5" s="171">
        <v>0.59</v>
      </c>
      <c r="P5" s="164">
        <v>0</v>
      </c>
      <c r="Q5" s="164">
        <v>0</v>
      </c>
      <c r="R5" s="164">
        <v>0</v>
      </c>
      <c r="S5" s="164">
        <v>0</v>
      </c>
      <c r="T5" s="164">
        <v>0</v>
      </c>
      <c r="U5" s="164">
        <v>0</v>
      </c>
      <c r="V5" s="164">
        <v>0</v>
      </c>
      <c r="W5" s="164">
        <v>0</v>
      </c>
      <c r="X5" s="164">
        <v>0</v>
      </c>
      <c r="Y5" s="164">
        <v>0</v>
      </c>
      <c r="Z5" s="164">
        <v>0</v>
      </c>
      <c r="AA5" s="276" t="e">
        <f>#REF!+#REF!+#REF!+#REF!+#REF!+#REF!+#REF!+#REF!+#REF!+#REF!+#REF!+#REF!</f>
        <v>#REF!</v>
      </c>
      <c r="AB5" s="276">
        <f t="shared" ref="AB5:AB21" si="0">O5+P5+Q5+R5+S5+T5+U5+V5+W5+X5+Y5+Z5</f>
        <v>0.59</v>
      </c>
    </row>
    <row r="6" spans="1:28" s="172" customFormat="1" x14ac:dyDescent="0.3">
      <c r="A6" s="271" t="s">
        <v>142</v>
      </c>
      <c r="B6" s="270" t="s">
        <v>143</v>
      </c>
      <c r="C6" s="271"/>
      <c r="D6" s="277">
        <v>1240999999.9799995</v>
      </c>
      <c r="E6" s="271"/>
      <c r="F6" s="272"/>
      <c r="G6" s="271"/>
      <c r="H6" s="272">
        <v>783000000</v>
      </c>
      <c r="I6" s="273"/>
      <c r="J6" s="272">
        <v>457.99999997999953</v>
      </c>
      <c r="K6" s="274">
        <f>87000000*3</f>
        <v>261000000</v>
      </c>
      <c r="L6" s="274" t="s">
        <v>141</v>
      </c>
      <c r="M6" s="275">
        <v>2.5000000000000001E-2</v>
      </c>
      <c r="N6" s="274">
        <v>196.99999997999953</v>
      </c>
      <c r="O6" s="171">
        <v>1.9371666664699951</v>
      </c>
      <c r="P6" s="171">
        <v>1.0816666664699954</v>
      </c>
      <c r="Q6" s="171">
        <v>0.22616666646999548</v>
      </c>
      <c r="R6" s="164">
        <v>0</v>
      </c>
      <c r="S6" s="164">
        <v>0</v>
      </c>
      <c r="T6" s="164">
        <v>0</v>
      </c>
      <c r="U6" s="164">
        <v>0</v>
      </c>
      <c r="V6" s="164">
        <v>0</v>
      </c>
      <c r="W6" s="164">
        <v>0</v>
      </c>
      <c r="X6" s="164">
        <v>0</v>
      </c>
      <c r="Y6" s="164">
        <v>0</v>
      </c>
      <c r="Z6" s="164">
        <v>0</v>
      </c>
      <c r="AA6" s="276" t="e">
        <f>#REF!+#REF!+#REF!+#REF!+#REF!+#REF!+#REF!+#REF!+#REF!+#REF!+#REF!+#REF!</f>
        <v>#REF!</v>
      </c>
      <c r="AB6" s="276">
        <f t="shared" si="0"/>
        <v>3.2449999994099858</v>
      </c>
    </row>
    <row r="7" spans="1:28" s="172" customFormat="1" x14ac:dyDescent="0.3">
      <c r="A7" s="271" t="s">
        <v>144</v>
      </c>
      <c r="B7" s="270" t="s">
        <v>145</v>
      </c>
      <c r="C7" s="271"/>
      <c r="D7" s="277">
        <v>27800000000</v>
      </c>
      <c r="E7" s="271"/>
      <c r="F7" s="272"/>
      <c r="G7" s="271"/>
      <c r="H7" s="272">
        <v>4100000000</v>
      </c>
      <c r="I7" s="273"/>
      <c r="J7" s="272">
        <v>23700</v>
      </c>
      <c r="K7" s="274">
        <v>1500000000</v>
      </c>
      <c r="L7" s="274" t="s">
        <v>141</v>
      </c>
      <c r="M7" s="275">
        <v>2.5000000000000001E-2</v>
      </c>
      <c r="N7" s="274">
        <v>22200</v>
      </c>
      <c r="O7" s="171">
        <v>218.3</v>
      </c>
      <c r="P7" s="171">
        <v>213.38333333333335</v>
      </c>
      <c r="Q7" s="171">
        <v>208.46666666666667</v>
      </c>
      <c r="R7" s="171">
        <v>203.55</v>
      </c>
      <c r="S7" s="171">
        <v>198.63333333333335</v>
      </c>
      <c r="T7" s="171">
        <v>193.71666666666667</v>
      </c>
      <c r="U7" s="171">
        <v>188.8</v>
      </c>
      <c r="V7" s="171">
        <v>183.88333333333335</v>
      </c>
      <c r="W7" s="171">
        <v>178.96666666666667</v>
      </c>
      <c r="X7" s="171">
        <v>174.05</v>
      </c>
      <c r="Y7" s="171">
        <v>169.13333333333335</v>
      </c>
      <c r="Z7" s="171">
        <v>164.21666666666667</v>
      </c>
      <c r="AA7" s="276" t="e">
        <f>#REF!+#REF!+#REF!+#REF!+#REF!+#REF!+#REF!+#REF!+#REF!+#REF!+#REF!+#REF!</f>
        <v>#REF!</v>
      </c>
      <c r="AB7" s="276">
        <f t="shared" si="0"/>
        <v>2295.1000000000004</v>
      </c>
    </row>
    <row r="8" spans="1:28" s="299" customFormat="1" x14ac:dyDescent="0.3">
      <c r="A8" s="290" t="s">
        <v>146</v>
      </c>
      <c r="B8" s="291" t="s">
        <v>147</v>
      </c>
      <c r="C8" s="290"/>
      <c r="D8" s="292">
        <v>9240000000</v>
      </c>
      <c r="E8" s="290"/>
      <c r="F8" s="293"/>
      <c r="G8" s="290"/>
      <c r="H8" s="293">
        <v>2225000000</v>
      </c>
      <c r="I8" s="294"/>
      <c r="J8" s="293">
        <v>7015</v>
      </c>
      <c r="K8" s="295">
        <f>J8-N8</f>
        <v>843</v>
      </c>
      <c r="L8" s="295" t="s">
        <v>148</v>
      </c>
      <c r="M8" s="296">
        <v>1.4999999999999999E-2</v>
      </c>
      <c r="N8" s="295">
        <v>6172</v>
      </c>
      <c r="O8" s="297">
        <v>55.548000000000002</v>
      </c>
      <c r="P8" s="297">
        <v>53.018999999999998</v>
      </c>
      <c r="Q8" s="297">
        <v>50.49</v>
      </c>
      <c r="R8" s="297">
        <v>47.960999999999999</v>
      </c>
      <c r="S8" s="297">
        <v>45.432000000000002</v>
      </c>
      <c r="T8" s="297">
        <v>42.902999999999999</v>
      </c>
      <c r="U8" s="297">
        <v>40.374000000000002</v>
      </c>
      <c r="V8" s="297">
        <v>37.844999999999999</v>
      </c>
      <c r="W8" s="297">
        <v>35.316000000000003</v>
      </c>
      <c r="X8" s="297">
        <v>32.372999999999998</v>
      </c>
      <c r="Y8" s="297">
        <v>29.43</v>
      </c>
      <c r="Z8" s="297">
        <v>26.486999999999998</v>
      </c>
      <c r="AA8" s="298" t="e">
        <f>#REF!+#REF!+#REF!+#REF!+#REF!+#REF!+#REF!+#REF!+#REF!+#REF!+#REF!+#REF!</f>
        <v>#REF!</v>
      </c>
      <c r="AB8" s="298">
        <f t="shared" si="0"/>
        <v>497.17800000000017</v>
      </c>
    </row>
    <row r="9" spans="1:28" s="309" customFormat="1" x14ac:dyDescent="0.3">
      <c r="A9" s="300" t="s">
        <v>149</v>
      </c>
      <c r="B9" s="301" t="s">
        <v>150</v>
      </c>
      <c r="C9" s="300"/>
      <c r="D9" s="302">
        <v>1296000000</v>
      </c>
      <c r="E9" s="300"/>
      <c r="F9" s="303"/>
      <c r="G9" s="300"/>
      <c r="H9" s="302">
        <f>D9-J9</f>
        <v>1295999145</v>
      </c>
      <c r="I9" s="304"/>
      <c r="J9" s="302">
        <v>855</v>
      </c>
      <c r="K9" s="305">
        <f>J9-N9</f>
        <v>189</v>
      </c>
      <c r="L9" s="305" t="s">
        <v>148</v>
      </c>
      <c r="M9" s="306">
        <v>0.02</v>
      </c>
      <c r="N9" s="305">
        <v>666</v>
      </c>
      <c r="O9" s="307">
        <v>6.2714999999999996</v>
      </c>
      <c r="P9" s="307">
        <v>5.6782500000000002</v>
      </c>
      <c r="Q9" s="307">
        <v>5.0473333333333334</v>
      </c>
      <c r="R9" s="307">
        <v>4.4164166666666667</v>
      </c>
      <c r="S9" s="307">
        <v>3.7854999999999999</v>
      </c>
      <c r="T9" s="307">
        <v>3.1545833333333335</v>
      </c>
      <c r="U9" s="307">
        <v>2.5236666666666667</v>
      </c>
      <c r="V9" s="307">
        <v>1.8927499999999999</v>
      </c>
      <c r="W9" s="307">
        <v>1.2618333333333334</v>
      </c>
      <c r="X9" s="307">
        <v>0.63091666666666668</v>
      </c>
      <c r="Y9" s="307">
        <v>0</v>
      </c>
      <c r="Z9" s="307">
        <v>0</v>
      </c>
      <c r="AA9" s="308" t="e">
        <f>#REF!+#REF!+#REF!+#REF!+#REF!+#REF!+#REF!+#REF!+#REF!+#REF!+#REF!+#REF!</f>
        <v>#REF!</v>
      </c>
      <c r="AB9" s="308">
        <f t="shared" si="0"/>
        <v>34.662750000000003</v>
      </c>
    </row>
    <row r="10" spans="1:28" s="299" customFormat="1" x14ac:dyDescent="0.3">
      <c r="A10" s="290" t="s">
        <v>151</v>
      </c>
      <c r="B10" s="291" t="s">
        <v>152</v>
      </c>
      <c r="C10" s="290"/>
      <c r="D10" s="293">
        <v>4580000000</v>
      </c>
      <c r="E10" s="290"/>
      <c r="F10" s="292"/>
      <c r="G10" s="290"/>
      <c r="H10" s="293">
        <v>270000000</v>
      </c>
      <c r="I10" s="294"/>
      <c r="J10" s="293">
        <v>4310</v>
      </c>
      <c r="K10" s="295">
        <f>J10-N10</f>
        <v>30</v>
      </c>
      <c r="L10" s="295" t="s">
        <v>148</v>
      </c>
      <c r="M10" s="296">
        <v>1.4999999999999999E-2</v>
      </c>
      <c r="N10" s="295">
        <v>4280</v>
      </c>
      <c r="O10" s="297">
        <v>38.520000000000003</v>
      </c>
      <c r="P10" s="297">
        <v>38.43</v>
      </c>
      <c r="Q10" s="297">
        <v>38.340000000000003</v>
      </c>
      <c r="R10" s="297">
        <v>38.25</v>
      </c>
      <c r="S10" s="297">
        <v>37.979999999999997</v>
      </c>
      <c r="T10" s="297">
        <v>37.71</v>
      </c>
      <c r="U10" s="297">
        <v>37.44</v>
      </c>
      <c r="V10" s="297">
        <v>37.17</v>
      </c>
      <c r="W10" s="297">
        <v>36.9</v>
      </c>
      <c r="X10" s="297">
        <v>36.630000000000003</v>
      </c>
      <c r="Y10" s="297">
        <v>36.621000000000002</v>
      </c>
      <c r="Z10" s="297">
        <v>36.612000000000002</v>
      </c>
      <c r="AA10" s="298" t="e">
        <f>#REF!+#REF!+#REF!+#REF!+#REF!+#REF!+#REF!+#REF!+#REF!+#REF!+#REF!+#REF!</f>
        <v>#REF!</v>
      </c>
      <c r="AB10" s="298">
        <f t="shared" si="0"/>
        <v>450.60300000000001</v>
      </c>
    </row>
    <row r="11" spans="1:28" s="172" customFormat="1" x14ac:dyDescent="0.3">
      <c r="A11" s="271" t="s">
        <v>153</v>
      </c>
      <c r="B11" s="278" t="s">
        <v>154</v>
      </c>
      <c r="C11" s="271"/>
      <c r="D11" s="272">
        <v>9058333333.3400002</v>
      </c>
      <c r="E11" s="271"/>
      <c r="F11" s="277"/>
      <c r="G11" s="271"/>
      <c r="H11" s="272">
        <v>1550000000</v>
      </c>
      <c r="I11" s="273"/>
      <c r="J11" s="272">
        <v>7508.3333333400005</v>
      </c>
      <c r="K11" s="274">
        <f>250000000*3</f>
        <v>750000000</v>
      </c>
      <c r="L11" s="274" t="s">
        <v>141</v>
      </c>
      <c r="M11" s="275">
        <v>2.5000000000000001E-2</v>
      </c>
      <c r="N11" s="274">
        <v>6758.3333333400005</v>
      </c>
      <c r="O11" s="171">
        <v>66.45694444451</v>
      </c>
      <c r="P11" s="171">
        <v>64.981944444510006</v>
      </c>
      <c r="Q11" s="171">
        <v>63.506944444510005</v>
      </c>
      <c r="R11" s="171">
        <v>62.031944444510003</v>
      </c>
      <c r="S11" s="171">
        <v>59.573611111176668</v>
      </c>
      <c r="T11" s="171">
        <v>57.115277777843332</v>
      </c>
      <c r="U11" s="171">
        <v>54.656944444510003</v>
      </c>
      <c r="V11" s="171">
        <v>52.198611111176668</v>
      </c>
      <c r="W11" s="171">
        <v>49.740277777843332</v>
      </c>
      <c r="X11" s="171">
        <v>47.281944444510003</v>
      </c>
      <c r="Y11" s="171">
        <v>44.823611111176668</v>
      </c>
      <c r="Z11" s="171">
        <v>42.365277777843332</v>
      </c>
      <c r="AA11" s="276" t="e">
        <f>#REF!+#REF!+#REF!+#REF!+#REF!+#REF!+#REF!+#REF!+#REF!+#REF!+#REF!+#REF!</f>
        <v>#REF!</v>
      </c>
      <c r="AB11" s="276">
        <f t="shared" si="0"/>
        <v>664.73333333411995</v>
      </c>
    </row>
    <row r="12" spans="1:28" s="289" customFormat="1" x14ac:dyDescent="0.3">
      <c r="A12" s="280" t="s">
        <v>155</v>
      </c>
      <c r="B12" s="281" t="s">
        <v>156</v>
      </c>
      <c r="C12" s="280"/>
      <c r="D12" s="282">
        <v>5000000000</v>
      </c>
      <c r="E12" s="280"/>
      <c r="F12" s="283"/>
      <c r="G12" s="280"/>
      <c r="H12" s="282">
        <v>500000000</v>
      </c>
      <c r="I12" s="284"/>
      <c r="J12" s="282">
        <v>4500</v>
      </c>
      <c r="K12" s="285">
        <v>500000000</v>
      </c>
      <c r="L12" s="285" t="s">
        <v>157</v>
      </c>
      <c r="M12" s="286">
        <v>1.4999999999999999E-2</v>
      </c>
      <c r="N12" s="285">
        <v>4000</v>
      </c>
      <c r="O12" s="287">
        <v>0</v>
      </c>
      <c r="P12" s="287">
        <v>0</v>
      </c>
      <c r="Q12" s="287">
        <v>0</v>
      </c>
      <c r="R12" s="287">
        <v>0</v>
      </c>
      <c r="S12" s="287">
        <v>0</v>
      </c>
      <c r="T12" s="287">
        <v>216</v>
      </c>
      <c r="U12" s="287">
        <v>0</v>
      </c>
      <c r="V12" s="287">
        <v>0</v>
      </c>
      <c r="W12" s="287">
        <v>0</v>
      </c>
      <c r="X12" s="287">
        <v>0</v>
      </c>
      <c r="Y12" s="287">
        <v>0</v>
      </c>
      <c r="Z12" s="287">
        <v>189</v>
      </c>
      <c r="AA12" s="288" t="e">
        <f>#REF!+#REF!+#REF!+#REF!+#REF!+#REF!+#REF!+#REF!+#REF!+#REF!+#REF!+#REF!</f>
        <v>#REF!</v>
      </c>
      <c r="AB12" s="288">
        <f t="shared" si="0"/>
        <v>405</v>
      </c>
    </row>
    <row r="13" spans="1:28" x14ac:dyDescent="0.3">
      <c r="A13" s="257" t="s">
        <v>158</v>
      </c>
      <c r="B13" s="262" t="s">
        <v>159</v>
      </c>
      <c r="C13" s="257"/>
      <c r="D13" s="258">
        <v>1625000000</v>
      </c>
      <c r="E13" s="257"/>
      <c r="F13" s="258"/>
      <c r="G13" s="257"/>
      <c r="H13" s="258">
        <v>562500000</v>
      </c>
      <c r="I13" s="259"/>
      <c r="J13" s="258">
        <v>1062.5</v>
      </c>
      <c r="K13" s="132">
        <f>J13-N13</f>
        <v>187.5</v>
      </c>
      <c r="L13" s="132" t="s">
        <v>148</v>
      </c>
      <c r="M13" s="260">
        <v>1.4E-2</v>
      </c>
      <c r="N13" s="132">
        <v>875</v>
      </c>
      <c r="O13" s="43">
        <v>7.802083333333333</v>
      </c>
      <c r="P13" s="43">
        <v>7.244791666666667</v>
      </c>
      <c r="Q13" s="43">
        <v>6.6875</v>
      </c>
      <c r="R13" s="43">
        <v>6.130208333333333</v>
      </c>
      <c r="S13" s="43">
        <v>5.572916666666667</v>
      </c>
      <c r="T13" s="43">
        <v>5.015625</v>
      </c>
      <c r="U13" s="43">
        <v>4.458333333333333</v>
      </c>
      <c r="V13" s="43">
        <v>3.9010416666666665</v>
      </c>
      <c r="W13" s="43">
        <v>3.34375</v>
      </c>
      <c r="X13" s="43">
        <v>2.7864583333333335</v>
      </c>
      <c r="Y13" s="43">
        <v>2.2291666666666665</v>
      </c>
      <c r="Z13" s="43">
        <v>1.671875</v>
      </c>
      <c r="AA13" s="48" t="e">
        <f>#REF!+#REF!+#REF!+#REF!+#REF!+#REF!+#REF!+#REF!+#REF!+#REF!+#REF!+#REF!</f>
        <v>#REF!</v>
      </c>
      <c r="AB13" s="48">
        <f t="shared" si="0"/>
        <v>56.84375</v>
      </c>
    </row>
    <row r="14" spans="1:28" s="172" customFormat="1" x14ac:dyDescent="0.3">
      <c r="A14" s="271" t="s">
        <v>160</v>
      </c>
      <c r="B14" s="278" t="s">
        <v>161</v>
      </c>
      <c r="C14" s="271"/>
      <c r="D14" s="272">
        <v>15937500000</v>
      </c>
      <c r="E14" s="271"/>
      <c r="F14" s="272"/>
      <c r="G14" s="271"/>
      <c r="H14" s="272">
        <v>3187500000</v>
      </c>
      <c r="I14" s="273"/>
      <c r="J14" s="272">
        <v>12750</v>
      </c>
      <c r="K14" s="274">
        <v>1062500000</v>
      </c>
      <c r="L14" s="274" t="s">
        <v>141</v>
      </c>
      <c r="M14" s="275">
        <v>2.5000000000000001E-2</v>
      </c>
      <c r="N14" s="274">
        <v>11687.5</v>
      </c>
      <c r="O14" s="171">
        <v>114.92708333333333</v>
      </c>
      <c r="P14" s="171">
        <v>114.92708333333333</v>
      </c>
      <c r="Q14" s="171">
        <v>114.92708333333333</v>
      </c>
      <c r="R14" s="171">
        <v>104.47916666666667</v>
      </c>
      <c r="S14" s="171">
        <v>104.47916666666667</v>
      </c>
      <c r="T14" s="171">
        <v>104.47916666666667</v>
      </c>
      <c r="U14" s="171">
        <v>94.03125</v>
      </c>
      <c r="V14" s="171">
        <v>94.03125</v>
      </c>
      <c r="W14" s="171">
        <v>94.03125</v>
      </c>
      <c r="X14" s="171">
        <v>83.583333333333329</v>
      </c>
      <c r="Y14" s="171">
        <v>83.583333333333329</v>
      </c>
      <c r="Z14" s="171">
        <v>83.583333333333329</v>
      </c>
      <c r="AA14" s="276" t="e">
        <f>#REF!+#REF!+#REF!+#REF!+#REF!+#REF!+#REF!+#REF!+#REF!+#REF!+#REF!+#REF!</f>
        <v>#REF!</v>
      </c>
      <c r="AB14" s="276">
        <f t="shared" si="0"/>
        <v>1191.0625</v>
      </c>
    </row>
    <row r="15" spans="1:28" s="309" customFormat="1" x14ac:dyDescent="0.3">
      <c r="A15" s="300" t="s">
        <v>162</v>
      </c>
      <c r="B15" s="301" t="s">
        <v>163</v>
      </c>
      <c r="C15" s="300"/>
      <c r="D15" s="302">
        <v>2000000000</v>
      </c>
      <c r="E15" s="300"/>
      <c r="F15" s="302"/>
      <c r="G15" s="300"/>
      <c r="H15" s="302">
        <f>D15-J15</f>
        <v>1999998249.9999959</v>
      </c>
      <c r="I15" s="304"/>
      <c r="J15" s="302">
        <v>1750.000004</v>
      </c>
      <c r="K15" s="305">
        <f>J15-N15</f>
        <v>124.99999800000001</v>
      </c>
      <c r="L15" s="305" t="s">
        <v>148</v>
      </c>
      <c r="M15" s="306">
        <v>0.02</v>
      </c>
      <c r="N15" s="305">
        <v>1625.000006</v>
      </c>
      <c r="O15" s="307">
        <v>15.302083389833333</v>
      </c>
      <c r="P15" s="307">
        <v>14.909722285000003</v>
      </c>
      <c r="Q15" s="307">
        <v>14.517361180166667</v>
      </c>
      <c r="R15" s="307">
        <v>14.125000075333334</v>
      </c>
      <c r="S15" s="307">
        <v>13.7326389705</v>
      </c>
      <c r="T15" s="307">
        <v>13.340277865666668</v>
      </c>
      <c r="U15" s="307">
        <v>12.947916760833332</v>
      </c>
      <c r="V15" s="307">
        <v>12.555555656000001</v>
      </c>
      <c r="W15" s="307">
        <v>12.163194551166667</v>
      </c>
      <c r="X15" s="307">
        <v>11.770833446333334</v>
      </c>
      <c r="Y15" s="307">
        <v>11.378472341499998</v>
      </c>
      <c r="Z15" s="307">
        <v>10.986111236666666</v>
      </c>
      <c r="AA15" s="308" t="e">
        <f>#REF!+#REF!+#REF!+#REF!+#REF!+#REF!+#REF!+#REF!+#REF!+#REF!+#REF!+#REF!</f>
        <v>#REF!</v>
      </c>
      <c r="AB15" s="308">
        <f t="shared" si="0"/>
        <v>157.72916775899998</v>
      </c>
    </row>
    <row r="16" spans="1:28" x14ac:dyDescent="0.3">
      <c r="A16" s="257" t="s">
        <v>164</v>
      </c>
      <c r="B16" s="262" t="s">
        <v>165</v>
      </c>
      <c r="C16" s="257"/>
      <c r="D16" s="258">
        <v>1666666658</v>
      </c>
      <c r="E16" s="257"/>
      <c r="F16" s="258"/>
      <c r="G16" s="257"/>
      <c r="H16" s="258">
        <v>1500000003</v>
      </c>
      <c r="I16" s="259"/>
      <c r="J16" s="258">
        <v>166.66665499999999</v>
      </c>
      <c r="K16" s="132">
        <f>J16</f>
        <v>166.66665499999999</v>
      </c>
      <c r="L16" s="132" t="s">
        <v>148</v>
      </c>
      <c r="M16" s="260">
        <v>1.4E-2</v>
      </c>
      <c r="N16" s="132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8" t="e">
        <f>#REF!+#REF!+#REF!+#REF!+#REF!+#REF!+#REF!+#REF!+#REF!+#REF!+#REF!+#REF!</f>
        <v>#REF!</v>
      </c>
      <c r="AB16" s="48">
        <f t="shared" si="0"/>
        <v>0</v>
      </c>
    </row>
    <row r="17" spans="1:28" s="299" customFormat="1" x14ac:dyDescent="0.3">
      <c r="A17" s="290" t="s">
        <v>166</v>
      </c>
      <c r="B17" s="291" t="s">
        <v>167</v>
      </c>
      <c r="C17" s="290"/>
      <c r="D17" s="293">
        <v>1665923305.95</v>
      </c>
      <c r="E17" s="290"/>
      <c r="F17" s="293">
        <v>697083636.5</v>
      </c>
      <c r="G17" s="290"/>
      <c r="H17" s="293">
        <v>450000000</v>
      </c>
      <c r="I17" s="294"/>
      <c r="J17" s="293">
        <v>1913.0069424499998</v>
      </c>
      <c r="K17" s="295">
        <f>-336993057.55+150000000</f>
        <v>-186993057.55000001</v>
      </c>
      <c r="L17" s="295" t="s">
        <v>148</v>
      </c>
      <c r="M17" s="296">
        <v>0.02</v>
      </c>
      <c r="N17" s="295">
        <v>2099.9999999999995</v>
      </c>
      <c r="O17" s="297">
        <v>19.774999999999995</v>
      </c>
      <c r="P17" s="297">
        <v>19.304166666666664</v>
      </c>
      <c r="Q17" s="297">
        <v>18.833333333333332</v>
      </c>
      <c r="R17" s="297">
        <v>18.362499999999997</v>
      </c>
      <c r="S17" s="297">
        <v>17.891666666666666</v>
      </c>
      <c r="T17" s="297">
        <v>17.420833333333331</v>
      </c>
      <c r="U17" s="297">
        <v>16.949999999999996</v>
      </c>
      <c r="V17" s="297">
        <v>16.479166666666664</v>
      </c>
      <c r="W17" s="297">
        <v>16.008333333333329</v>
      </c>
      <c r="X17" s="297">
        <v>15.537499999999998</v>
      </c>
      <c r="Y17" s="297">
        <v>15.066666666666665</v>
      </c>
      <c r="Z17" s="297">
        <v>14.59583333333333</v>
      </c>
      <c r="AA17" s="298" t="e">
        <f>#REF!+#REF!+#REF!+#REF!+#REF!+#REF!+#REF!+#REF!+#REF!+#REF!+#REF!+#REF!</f>
        <v>#REF!</v>
      </c>
      <c r="AB17" s="298">
        <f t="shared" si="0"/>
        <v>206.22499999999997</v>
      </c>
    </row>
    <row r="18" spans="1:28" x14ac:dyDescent="0.3">
      <c r="A18" s="257" t="s">
        <v>168</v>
      </c>
      <c r="B18" s="262" t="s">
        <v>169</v>
      </c>
      <c r="C18" s="257"/>
      <c r="D18" s="258">
        <v>1444444440</v>
      </c>
      <c r="E18" s="257"/>
      <c r="F18" s="258"/>
      <c r="G18" s="257"/>
      <c r="H18" s="258">
        <v>1000000008</v>
      </c>
      <c r="I18" s="259"/>
      <c r="J18" s="258">
        <v>444.44443200000001</v>
      </c>
      <c r="K18" s="132">
        <f>J18-N18</f>
        <v>333.33333600000003</v>
      </c>
      <c r="L18" s="132" t="s">
        <v>148</v>
      </c>
      <c r="M18" s="260">
        <v>1.4E-2</v>
      </c>
      <c r="N18" s="132">
        <v>111.111096</v>
      </c>
      <c r="O18" s="43">
        <v>0.99074060600000002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8" t="e">
        <f>#REF!+#REF!+#REF!+#REF!+#REF!+#REF!+#REF!+#REF!+#REF!+#REF!+#REF!+#REF!</f>
        <v>#REF!</v>
      </c>
      <c r="AB18" s="48">
        <f t="shared" si="0"/>
        <v>0.99074060600000002</v>
      </c>
    </row>
    <row r="19" spans="1:28" x14ac:dyDescent="0.3">
      <c r="A19" s="257" t="s">
        <v>170</v>
      </c>
      <c r="B19" s="262" t="s">
        <v>171</v>
      </c>
      <c r="C19" s="257"/>
      <c r="D19" s="258">
        <v>0</v>
      </c>
      <c r="E19" s="257"/>
      <c r="F19" s="258">
        <v>3000000000</v>
      </c>
      <c r="G19" s="257"/>
      <c r="H19" s="258">
        <v>1002000000</v>
      </c>
      <c r="I19" s="259"/>
      <c r="J19" s="258">
        <v>1998</v>
      </c>
      <c r="K19" s="132">
        <f>J19-N19</f>
        <v>501</v>
      </c>
      <c r="L19" s="132" t="s">
        <v>148</v>
      </c>
      <c r="M19" s="260">
        <v>1.4E-2</v>
      </c>
      <c r="N19" s="132">
        <v>1497</v>
      </c>
      <c r="O19" s="43">
        <v>13.34825</v>
      </c>
      <c r="P19" s="43">
        <v>11.859166666666667</v>
      </c>
      <c r="Q19" s="43">
        <v>10.370083333333334</v>
      </c>
      <c r="R19" s="43">
        <v>8.8810000000000002</v>
      </c>
      <c r="S19" s="43">
        <v>7.3919166666666669</v>
      </c>
      <c r="T19" s="43">
        <v>5.9028333333333327</v>
      </c>
      <c r="U19" s="43">
        <v>4.4137500000000003</v>
      </c>
      <c r="V19" s="43">
        <v>2.9246666666666665</v>
      </c>
      <c r="W19" s="43">
        <v>1.4355833333333332</v>
      </c>
      <c r="X19" s="43">
        <v>0</v>
      </c>
      <c r="Y19" s="43">
        <v>0</v>
      </c>
      <c r="Z19" s="43">
        <v>0</v>
      </c>
      <c r="AA19" s="48" t="e">
        <f>#REF!+#REF!+#REF!+#REF!+#REF!+#REF!+#REF!+#REF!+#REF!+#REF!+#REF!+#REF!</f>
        <v>#REF!</v>
      </c>
      <c r="AB19" s="48">
        <f t="shared" si="0"/>
        <v>66.527249999999995</v>
      </c>
    </row>
    <row r="20" spans="1:28" x14ac:dyDescent="0.3">
      <c r="A20" s="257" t="s">
        <v>172</v>
      </c>
      <c r="B20" s="262"/>
      <c r="C20" s="257"/>
      <c r="D20" s="258">
        <v>0</v>
      </c>
      <c r="E20" s="257"/>
      <c r="F20" s="258">
        <v>1000000000</v>
      </c>
      <c r="G20" s="257"/>
      <c r="H20" s="258">
        <v>168000000</v>
      </c>
      <c r="I20" s="259"/>
      <c r="J20" s="258">
        <v>832</v>
      </c>
      <c r="K20" s="132">
        <f>J20-N20</f>
        <v>168</v>
      </c>
      <c r="L20" s="132" t="s">
        <v>148</v>
      </c>
      <c r="M20" s="260">
        <v>1.4E-2</v>
      </c>
      <c r="N20" s="132">
        <v>664</v>
      </c>
      <c r="O20" s="43">
        <v>5.9206666666666674</v>
      </c>
      <c r="P20" s="43">
        <v>5.4213333333333331</v>
      </c>
      <c r="Q20" s="43">
        <v>4.9219999999999997</v>
      </c>
      <c r="R20" s="43">
        <v>4.4226666666666672</v>
      </c>
      <c r="S20" s="43">
        <v>3.9233333333333333</v>
      </c>
      <c r="T20" s="43">
        <v>3.4239999999999999</v>
      </c>
      <c r="U20" s="43">
        <v>2.9246666666666665</v>
      </c>
      <c r="V20" s="43">
        <v>2.4253333333333336</v>
      </c>
      <c r="W20" s="43">
        <v>1.9259999999999999</v>
      </c>
      <c r="X20" s="43">
        <v>1.4266666666666667</v>
      </c>
      <c r="Y20" s="43">
        <v>0.92733333333333334</v>
      </c>
      <c r="Z20" s="43">
        <v>0.42799999999999999</v>
      </c>
      <c r="AA20" s="48" t="e">
        <f>#REF!+#REF!+#REF!+#REF!+#REF!+#REF!+#REF!+#REF!+#REF!+#REF!+#REF!+#REF!</f>
        <v>#REF!</v>
      </c>
      <c r="AB20" s="48">
        <f t="shared" si="0"/>
        <v>38.091999999999999</v>
      </c>
    </row>
    <row r="21" spans="1:28" x14ac:dyDescent="0.3">
      <c r="A21" s="257" t="s">
        <v>173</v>
      </c>
      <c r="B21" s="263" t="s">
        <v>174</v>
      </c>
      <c r="C21" s="257"/>
      <c r="D21" s="258"/>
      <c r="E21" s="257"/>
      <c r="F21" s="258"/>
      <c r="G21" s="257"/>
      <c r="H21" s="258"/>
      <c r="I21" s="259"/>
      <c r="J21" s="258"/>
      <c r="K21" s="132"/>
      <c r="L21" s="132" t="s">
        <v>148</v>
      </c>
      <c r="M21" s="260">
        <v>0.02</v>
      </c>
      <c r="N21" s="132">
        <v>0</v>
      </c>
      <c r="O21" s="43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132">
        <v>188.333333333333</v>
      </c>
      <c r="X21" s="132">
        <v>184.40972222850002</v>
      </c>
      <c r="Y21" s="132">
        <v>180.48611112366666</v>
      </c>
      <c r="Z21" s="132">
        <v>176.56249999058332</v>
      </c>
      <c r="AA21" s="48" t="e">
        <f>#REF!+#REF!+#REF!+#REF!+#REF!+#REF!+#REF!+#REF!+#REF!+#REF!+#REF!+#REF!</f>
        <v>#REF!</v>
      </c>
      <c r="AB21" s="48">
        <f t="shared" si="0"/>
        <v>729.79166667608297</v>
      </c>
    </row>
    <row r="22" spans="1:28" x14ac:dyDescent="0.3">
      <c r="A22" s="257"/>
      <c r="B22" s="264"/>
      <c r="C22" s="265"/>
      <c r="D22" s="258">
        <f>SUM(D5:D20)</f>
        <v>84294867737.269989</v>
      </c>
      <c r="E22" s="258"/>
      <c r="F22" s="258">
        <f>SUM(E5:F20)</f>
        <v>4697083636.5</v>
      </c>
      <c r="G22" s="258"/>
      <c r="H22" s="258">
        <f>SUM(H5:H20)</f>
        <v>21853997405.999996</v>
      </c>
      <c r="I22" s="258"/>
      <c r="J22" s="258">
        <f>SUM(J5:J20)</f>
        <v>69742.951366770008</v>
      </c>
      <c r="K22" s="258">
        <f t="shared" ref="K22" si="1">SUM(K5:K20)</f>
        <v>4306509485.9499884</v>
      </c>
      <c r="L22" s="258"/>
      <c r="M22" s="266"/>
      <c r="N22" s="267">
        <f>SUM(N5:N21)</f>
        <v>62892.944435320002</v>
      </c>
      <c r="O22" s="48">
        <f t="shared" ref="O22:Z22" si="2">SUM(O5:O21)</f>
        <v>565.68951844014657</v>
      </c>
      <c r="P22" s="48">
        <f t="shared" si="2"/>
        <v>550.24045839598</v>
      </c>
      <c r="Q22" s="48">
        <f t="shared" si="2"/>
        <v>536.33447229114665</v>
      </c>
      <c r="R22" s="48">
        <f t="shared" si="2"/>
        <v>512.60990285317678</v>
      </c>
      <c r="S22" s="48">
        <f t="shared" si="2"/>
        <v>498.39608341501003</v>
      </c>
      <c r="T22" s="48">
        <f t="shared" si="2"/>
        <v>700.18226397684327</v>
      </c>
      <c r="U22" s="48">
        <f t="shared" si="2"/>
        <v>459.52052787200995</v>
      </c>
      <c r="V22" s="48">
        <f t="shared" si="2"/>
        <v>445.30670843384343</v>
      </c>
      <c r="W22" s="48">
        <f t="shared" si="2"/>
        <v>619.42622232900965</v>
      </c>
      <c r="X22" s="48">
        <f t="shared" si="2"/>
        <v>590.48037511934331</v>
      </c>
      <c r="Y22" s="48">
        <f t="shared" si="2"/>
        <v>573.67902790967673</v>
      </c>
      <c r="Z22" s="48">
        <f t="shared" si="2"/>
        <v>746.50859733842663</v>
      </c>
      <c r="AA22" s="48" t="e">
        <f>SUM(AA5:AA21)</f>
        <v>#REF!</v>
      </c>
      <c r="AB22" s="48">
        <f>SUM(AB5:AB21)</f>
        <v>6798.3741583746132</v>
      </c>
    </row>
    <row r="24" spans="1:28" x14ac:dyDescent="0.3">
      <c r="A24" s="268"/>
      <c r="D24" s="269"/>
      <c r="J24" s="146"/>
      <c r="K24" s="146"/>
      <c r="L24" s="146"/>
    </row>
    <row r="25" spans="1:28" x14ac:dyDescent="0.3">
      <c r="F25" s="146"/>
    </row>
    <row r="26" spans="1:28" x14ac:dyDescent="0.3">
      <c r="D26" s="16">
        <f>20000/(12*4)</f>
        <v>416.66666666666669</v>
      </c>
      <c r="F26" s="108"/>
      <c r="N26" s="108">
        <v>62892944435.32</v>
      </c>
      <c r="O26" s="108">
        <v>565689518.44014645</v>
      </c>
      <c r="P26" s="108">
        <v>550240458.39598</v>
      </c>
      <c r="Q26" s="108">
        <v>536334472.29114658</v>
      </c>
      <c r="R26" s="108">
        <v>512609902.85317665</v>
      </c>
      <c r="S26" s="108">
        <v>498396083.41501009</v>
      </c>
      <c r="T26" s="108">
        <v>700182263.97684336</v>
      </c>
      <c r="U26" s="108">
        <v>459520527.87200993</v>
      </c>
      <c r="V26" s="108">
        <v>445306708.43384337</v>
      </c>
      <c r="W26" s="108">
        <v>619426222.32901001</v>
      </c>
      <c r="X26" s="108">
        <v>590480375.11934328</v>
      </c>
      <c r="Y26" s="108">
        <v>573679027.90967667</v>
      </c>
      <c r="Z26" s="108">
        <v>746508597.33842671</v>
      </c>
      <c r="AA26" s="108">
        <v>24430777754.98</v>
      </c>
      <c r="AB26" s="108">
        <v>6798374158.3746138</v>
      </c>
    </row>
    <row r="27" spans="1:28" x14ac:dyDescent="0.3">
      <c r="F27" s="146"/>
    </row>
  </sheetData>
  <mergeCells count="1">
    <mergeCell ref="A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D78C-40A8-4CE2-9C26-EE63F5C1134C}">
  <sheetPr>
    <tabColor rgb="FF00B0F0"/>
  </sheetPr>
  <dimension ref="A1:AV33"/>
  <sheetViews>
    <sheetView topLeftCell="A13" zoomScaleNormal="100" workbookViewId="0">
      <selection activeCell="AC7" sqref="AC7"/>
    </sheetView>
  </sheetViews>
  <sheetFormatPr defaultColWidth="9.1796875" defaultRowHeight="14" x14ac:dyDescent="0.3"/>
  <cols>
    <col min="1" max="1" width="20.7265625" style="16" customWidth="1"/>
    <col min="2" max="2" width="10.7265625" style="15" bestFit="1" customWidth="1"/>
    <col min="3" max="3" width="12.7265625" style="16" customWidth="1"/>
    <col min="4" max="4" width="15.453125" style="15" hidden="1" customWidth="1"/>
    <col min="5" max="5" width="9.26953125" style="15" hidden="1" customWidth="1"/>
    <col min="6" max="6" width="15.453125" style="15" hidden="1" customWidth="1"/>
    <col min="7" max="10" width="9.26953125" style="15" hidden="1" customWidth="1"/>
    <col min="11" max="13" width="9.54296875" style="15" hidden="1" customWidth="1"/>
    <col min="14" max="14" width="9.26953125" style="15" hidden="1" customWidth="1"/>
    <col min="15" max="15" width="9.54296875" style="15" hidden="1" customWidth="1"/>
    <col min="16" max="16" width="11.7265625" style="15" hidden="1" customWidth="1"/>
    <col min="17" max="17" width="9.54296875" style="15" hidden="1" customWidth="1"/>
    <col min="18" max="18" width="9.26953125" style="15" hidden="1" customWidth="1"/>
    <col min="19" max="19" width="9.54296875" style="15" hidden="1" customWidth="1"/>
    <col min="20" max="20" width="10.7265625" style="15" hidden="1" customWidth="1"/>
    <col min="21" max="21" width="9.54296875" style="15" hidden="1" customWidth="1"/>
    <col min="22" max="22" width="9.26953125" style="15" hidden="1" customWidth="1"/>
    <col min="23" max="23" width="9.54296875" style="15" hidden="1" customWidth="1"/>
    <col min="24" max="24" width="9.26953125" style="15" hidden="1" customWidth="1"/>
    <col min="25" max="25" width="9.54296875" style="15" hidden="1" customWidth="1"/>
    <col min="26" max="26" width="9.26953125" style="15" hidden="1" customWidth="1"/>
    <col min="27" max="27" width="9.54296875" style="15" hidden="1" customWidth="1"/>
    <col min="28" max="28" width="9.26953125" style="15" hidden="1" customWidth="1"/>
    <col min="29" max="44" width="15.54296875" style="15" customWidth="1"/>
    <col min="45" max="45" width="14.81640625" style="16" hidden="1" customWidth="1"/>
    <col min="46" max="46" width="14.1796875" style="16" hidden="1" customWidth="1"/>
    <col min="47" max="47" width="15.81640625" style="16" hidden="1" customWidth="1"/>
    <col min="48" max="48" width="12" style="16" bestFit="1" customWidth="1"/>
    <col min="49" max="16384" width="9.1796875" style="16"/>
  </cols>
  <sheetData>
    <row r="1" spans="1:48" x14ac:dyDescent="0.3">
      <c r="A1" s="14" t="s">
        <v>0</v>
      </c>
      <c r="AU1" s="14" t="s">
        <v>26</v>
      </c>
    </row>
    <row r="2" spans="1:48" x14ac:dyDescent="0.3">
      <c r="A2" s="14" t="s">
        <v>83</v>
      </c>
      <c r="AU2" s="14"/>
    </row>
    <row r="3" spans="1:48" x14ac:dyDescent="0.3">
      <c r="A3" s="381" t="s">
        <v>84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382" t="s">
        <v>27</v>
      </c>
      <c r="AT3" s="382"/>
      <c r="AU3" s="382"/>
    </row>
    <row r="4" spans="1:48" ht="20.25" customHeight="1" x14ac:dyDescent="0.3">
      <c r="A4" s="383" t="s">
        <v>28</v>
      </c>
      <c r="B4" s="384" t="s">
        <v>29</v>
      </c>
      <c r="C4" s="385" t="s">
        <v>30</v>
      </c>
      <c r="D4" s="386" t="s">
        <v>31</v>
      </c>
      <c r="E4" s="380" t="s">
        <v>20</v>
      </c>
      <c r="F4" s="380"/>
      <c r="G4" s="380" t="s">
        <v>21</v>
      </c>
      <c r="H4" s="380"/>
      <c r="I4" s="380" t="s">
        <v>22</v>
      </c>
      <c r="J4" s="380"/>
      <c r="K4" s="380" t="s">
        <v>23</v>
      </c>
      <c r="L4" s="380"/>
      <c r="M4" s="380" t="s">
        <v>24</v>
      </c>
      <c r="N4" s="380"/>
      <c r="O4" s="380" t="s">
        <v>25</v>
      </c>
      <c r="P4" s="380"/>
      <c r="Q4" s="380" t="s">
        <v>1</v>
      </c>
      <c r="R4" s="380"/>
      <c r="S4" s="380" t="s">
        <v>2</v>
      </c>
      <c r="T4" s="380"/>
      <c r="U4" s="380" t="s">
        <v>3</v>
      </c>
      <c r="V4" s="380"/>
      <c r="W4" s="380" t="s">
        <v>4</v>
      </c>
      <c r="X4" s="380"/>
      <c r="Y4" s="380" t="s">
        <v>5</v>
      </c>
      <c r="Z4" s="380"/>
      <c r="AA4" s="380" t="s">
        <v>6</v>
      </c>
      <c r="AB4" s="380"/>
      <c r="AC4" s="387" t="s">
        <v>32</v>
      </c>
      <c r="AD4" s="387" t="s">
        <v>33</v>
      </c>
      <c r="AE4" s="387" t="s">
        <v>110</v>
      </c>
      <c r="AF4" s="394" t="s">
        <v>11</v>
      </c>
      <c r="AG4" s="384"/>
      <c r="AH4" s="384"/>
      <c r="AI4" s="384"/>
      <c r="AJ4" s="384"/>
      <c r="AK4" s="384"/>
      <c r="AL4" s="384"/>
      <c r="AM4" s="386"/>
      <c r="AN4" s="394" t="s">
        <v>10</v>
      </c>
      <c r="AO4" s="384"/>
      <c r="AP4" s="384"/>
      <c r="AQ4" s="386"/>
      <c r="AR4" s="387" t="s">
        <v>19</v>
      </c>
      <c r="AS4" s="20" t="s">
        <v>34</v>
      </c>
      <c r="AT4" s="20" t="s">
        <v>35</v>
      </c>
      <c r="AU4" s="20" t="s">
        <v>36</v>
      </c>
    </row>
    <row r="5" spans="1:48" x14ac:dyDescent="0.3">
      <c r="A5" s="383"/>
      <c r="B5" s="384"/>
      <c r="C5" s="385"/>
      <c r="D5" s="386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388"/>
      <c r="AD5" s="388"/>
      <c r="AE5" s="388"/>
      <c r="AF5" s="390">
        <v>45315</v>
      </c>
      <c r="AG5" s="390">
        <v>45347</v>
      </c>
      <c r="AH5" s="390">
        <v>45377</v>
      </c>
      <c r="AI5" s="390">
        <v>45409</v>
      </c>
      <c r="AJ5" s="390">
        <v>45440</v>
      </c>
      <c r="AK5" s="390">
        <v>45452</v>
      </c>
      <c r="AL5" s="390">
        <v>45483</v>
      </c>
      <c r="AM5" s="390">
        <v>45515</v>
      </c>
      <c r="AN5" s="392">
        <v>45547</v>
      </c>
      <c r="AO5" s="390">
        <v>45578</v>
      </c>
      <c r="AP5" s="390">
        <v>45610</v>
      </c>
      <c r="AQ5" s="390">
        <v>45641</v>
      </c>
      <c r="AR5" s="388"/>
      <c r="AS5" s="20"/>
      <c r="AT5" s="20"/>
      <c r="AU5" s="20"/>
    </row>
    <row r="6" spans="1:48" x14ac:dyDescent="0.3">
      <c r="A6" s="383"/>
      <c r="B6" s="384"/>
      <c r="C6" s="385"/>
      <c r="D6" s="386"/>
      <c r="E6" s="21" t="s">
        <v>37</v>
      </c>
      <c r="F6" s="21" t="s">
        <v>38</v>
      </c>
      <c r="G6" s="21" t="s">
        <v>37</v>
      </c>
      <c r="H6" s="21" t="s">
        <v>38</v>
      </c>
      <c r="I6" s="21" t="s">
        <v>37</v>
      </c>
      <c r="J6" s="21" t="s">
        <v>38</v>
      </c>
      <c r="K6" s="21" t="s">
        <v>37</v>
      </c>
      <c r="L6" s="21" t="s">
        <v>38</v>
      </c>
      <c r="M6" s="21" t="s">
        <v>37</v>
      </c>
      <c r="N6" s="21" t="s">
        <v>38</v>
      </c>
      <c r="O6" s="21" t="s">
        <v>37</v>
      </c>
      <c r="P6" s="21" t="s">
        <v>38</v>
      </c>
      <c r="Q6" s="21" t="s">
        <v>37</v>
      </c>
      <c r="R6" s="21" t="s">
        <v>38</v>
      </c>
      <c r="S6" s="21" t="s">
        <v>37</v>
      </c>
      <c r="T6" s="21" t="s">
        <v>38</v>
      </c>
      <c r="U6" s="21" t="s">
        <v>37</v>
      </c>
      <c r="V6" s="21" t="s">
        <v>38</v>
      </c>
      <c r="W6" s="21" t="s">
        <v>37</v>
      </c>
      <c r="X6" s="21" t="s">
        <v>38</v>
      </c>
      <c r="Y6" s="21" t="s">
        <v>37</v>
      </c>
      <c r="Z6" s="21" t="s">
        <v>38</v>
      </c>
      <c r="AA6" s="21" t="s">
        <v>37</v>
      </c>
      <c r="AB6" s="21" t="s">
        <v>38</v>
      </c>
      <c r="AC6" s="389"/>
      <c r="AD6" s="389"/>
      <c r="AE6" s="389"/>
      <c r="AF6" s="391"/>
      <c r="AG6" s="391"/>
      <c r="AH6" s="391"/>
      <c r="AI6" s="391"/>
      <c r="AJ6" s="391"/>
      <c r="AK6" s="391"/>
      <c r="AL6" s="391"/>
      <c r="AM6" s="391"/>
      <c r="AN6" s="393"/>
      <c r="AO6" s="391"/>
      <c r="AP6" s="391"/>
      <c r="AQ6" s="391"/>
      <c r="AR6" s="389"/>
      <c r="AS6" s="19" t="s">
        <v>38</v>
      </c>
      <c r="AT6" s="19" t="s">
        <v>38</v>
      </c>
      <c r="AU6" s="19" t="s">
        <v>38</v>
      </c>
    </row>
    <row r="7" spans="1:48" x14ac:dyDescent="0.3">
      <c r="A7" s="36" t="s">
        <v>39</v>
      </c>
      <c r="B7" s="37">
        <v>10000</v>
      </c>
      <c r="C7" s="36" t="s">
        <v>40</v>
      </c>
      <c r="D7" s="37">
        <v>1880</v>
      </c>
      <c r="E7" s="37"/>
      <c r="F7" s="37">
        <v>0</v>
      </c>
      <c r="G7" s="37"/>
      <c r="H7" s="37">
        <v>47</v>
      </c>
      <c r="I7" s="37"/>
      <c r="J7" s="37">
        <v>95</v>
      </c>
      <c r="K7" s="37"/>
      <c r="L7" s="37">
        <v>43</v>
      </c>
      <c r="M7" s="37"/>
      <c r="N7" s="37">
        <v>75</v>
      </c>
      <c r="O7" s="37"/>
      <c r="P7" s="37">
        <v>36</v>
      </c>
      <c r="Q7" s="37"/>
      <c r="R7" s="37">
        <v>35</v>
      </c>
      <c r="S7" s="37"/>
      <c r="T7" s="37"/>
      <c r="U7" s="37"/>
      <c r="V7" s="37"/>
      <c r="W7" s="37"/>
      <c r="X7" s="37"/>
      <c r="Y7" s="37"/>
      <c r="Z7" s="37"/>
      <c r="AA7" s="37">
        <v>140</v>
      </c>
      <c r="AB7" s="38"/>
      <c r="AC7" s="36" t="s">
        <v>41</v>
      </c>
      <c r="AD7" s="36">
        <v>1740</v>
      </c>
      <c r="AE7" s="36">
        <v>620</v>
      </c>
      <c r="AF7" s="39">
        <v>24.024999999999999</v>
      </c>
      <c r="AG7" s="40">
        <v>22.206</v>
      </c>
      <c r="AH7" s="36">
        <v>19.222999999999999</v>
      </c>
      <c r="AI7" s="36">
        <v>18.466999999999999</v>
      </c>
      <c r="AJ7" s="36">
        <v>15.884</v>
      </c>
      <c r="AK7" s="41">
        <v>14.79</v>
      </c>
      <c r="AL7" s="42">
        <v>12.02</v>
      </c>
      <c r="AM7" s="41">
        <v>10.489000000000001</v>
      </c>
      <c r="AN7" s="175">
        <v>5.2183333333333328</v>
      </c>
      <c r="AO7" s="41">
        <v>4.1174794520547939</v>
      </c>
      <c r="AP7" s="41">
        <v>2.8616666666666664</v>
      </c>
      <c r="AQ7" s="41">
        <v>1.7156164383561645</v>
      </c>
      <c r="AR7" s="43">
        <f>AF7+AG7+AH7+AI7+AJ7+AK7+AL7+AM7+AN7+AO7+AP7+AQ7</f>
        <v>151.01709589041096</v>
      </c>
      <c r="AS7" s="43" t="e">
        <f>#REF!</f>
        <v>#REF!</v>
      </c>
      <c r="AT7" s="36">
        <v>0</v>
      </c>
      <c r="AU7" s="36">
        <v>0</v>
      </c>
      <c r="AV7" s="108">
        <v>158.03209589041097</v>
      </c>
    </row>
    <row r="8" spans="1:48" x14ac:dyDescent="0.3">
      <c r="A8" s="36" t="s">
        <v>39</v>
      </c>
      <c r="B8" s="37">
        <v>6200</v>
      </c>
      <c r="C8" s="36" t="s">
        <v>42</v>
      </c>
      <c r="D8" s="37">
        <v>1328</v>
      </c>
      <c r="E8" s="37"/>
      <c r="F8" s="37"/>
      <c r="G8" s="37"/>
      <c r="H8" s="37">
        <v>33</v>
      </c>
      <c r="I8" s="37"/>
      <c r="J8" s="37">
        <v>67</v>
      </c>
      <c r="K8" s="37"/>
      <c r="L8" s="37">
        <v>30</v>
      </c>
      <c r="M8" s="37"/>
      <c r="N8" s="37">
        <v>55</v>
      </c>
      <c r="O8" s="37"/>
      <c r="P8" s="37">
        <v>26</v>
      </c>
      <c r="Q8" s="37"/>
      <c r="R8" s="37">
        <v>24</v>
      </c>
      <c r="S8" s="37"/>
      <c r="T8" s="37"/>
      <c r="U8" s="37"/>
      <c r="V8" s="37"/>
      <c r="W8" s="37"/>
      <c r="X8" s="37"/>
      <c r="Y8" s="37"/>
      <c r="Z8" s="37"/>
      <c r="AA8" s="37">
        <v>87</v>
      </c>
      <c r="AB8" s="38"/>
      <c r="AC8" s="36" t="s">
        <v>41</v>
      </c>
      <c r="AD8" s="36">
        <v>1241</v>
      </c>
      <c r="AE8" s="36">
        <v>545</v>
      </c>
      <c r="AF8" s="39">
        <v>16.73</v>
      </c>
      <c r="AG8" s="40">
        <v>16.437999999999999</v>
      </c>
      <c r="AH8" s="36">
        <v>13.814</v>
      </c>
      <c r="AI8" s="36">
        <v>13.525</v>
      </c>
      <c r="AJ8" s="36">
        <v>12.081</v>
      </c>
      <c r="AK8" s="41">
        <v>11.2</v>
      </c>
      <c r="AL8" s="42">
        <v>9.7189999999999994</v>
      </c>
      <c r="AM8" s="41">
        <v>8.76</v>
      </c>
      <c r="AN8" s="175">
        <v>4.5870833333333332</v>
      </c>
      <c r="AO8" s="41">
        <v>3.9287616438356165</v>
      </c>
      <c r="AP8" s="41">
        <v>3.0798082191780818</v>
      </c>
      <c r="AQ8" s="41">
        <v>2.4361753424657535</v>
      </c>
      <c r="AR8" s="43">
        <f t="shared" ref="AR8:AR29" si="0">AF8+AG8+AH8+AI8+AJ8+AK8+AL8+AM8+AN8+AO8+AP8+AQ8</f>
        <v>116.29882853881278</v>
      </c>
      <c r="AS8" s="36">
        <v>0</v>
      </c>
      <c r="AT8" s="36">
        <v>0</v>
      </c>
      <c r="AU8" s="43" t="e">
        <f>#REF!</f>
        <v>#REF!</v>
      </c>
      <c r="AV8" s="108">
        <v>116.29882853881278</v>
      </c>
    </row>
    <row r="9" spans="1:48" x14ac:dyDescent="0.3">
      <c r="A9" s="36" t="s">
        <v>39</v>
      </c>
      <c r="B9" s="37">
        <v>35000</v>
      </c>
      <c r="C9" s="36" t="s">
        <v>43</v>
      </c>
      <c r="D9" s="37">
        <v>28200</v>
      </c>
      <c r="E9" s="37">
        <v>400</v>
      </c>
      <c r="F9" s="37">
        <v>678</v>
      </c>
      <c r="G9" s="37"/>
      <c r="H9" s="37">
        <v>693</v>
      </c>
      <c r="I9" s="37"/>
      <c r="J9" s="37">
        <v>714</v>
      </c>
      <c r="K9" s="37"/>
      <c r="L9" s="37">
        <v>1360</v>
      </c>
      <c r="M9" s="37"/>
      <c r="N9" s="37">
        <v>538</v>
      </c>
      <c r="O9" s="37"/>
      <c r="P9" s="37">
        <v>549</v>
      </c>
      <c r="Q9" s="37"/>
      <c r="R9" s="37">
        <v>502</v>
      </c>
      <c r="S9" s="37"/>
      <c r="T9" s="37"/>
      <c r="U9" s="37"/>
      <c r="V9" s="37"/>
      <c r="W9" s="37"/>
      <c r="X9" s="37"/>
      <c r="Y9" s="37"/>
      <c r="Z9" s="37"/>
      <c r="AA9" s="37">
        <v>400</v>
      </c>
      <c r="AB9" s="38"/>
      <c r="AC9" s="36" t="s">
        <v>44</v>
      </c>
      <c r="AD9" s="36">
        <v>27800</v>
      </c>
      <c r="AE9" s="36">
        <v>24600</v>
      </c>
      <c r="AF9" s="39">
        <v>378.32799999999997</v>
      </c>
      <c r="AG9" s="40">
        <v>378.47500000000002</v>
      </c>
      <c r="AH9" s="36">
        <v>348.952</v>
      </c>
      <c r="AI9" s="36">
        <v>367.29399999999998</v>
      </c>
      <c r="AJ9" s="36">
        <v>350.82100000000003</v>
      </c>
      <c r="AK9" s="41">
        <v>356.61</v>
      </c>
      <c r="AL9" s="42">
        <v>340.315</v>
      </c>
      <c r="AM9" s="41">
        <v>345.56799999999998</v>
      </c>
      <c r="AN9" s="175">
        <v>217.29999999999998</v>
      </c>
      <c r="AO9" s="41">
        <v>216.96602739726026</v>
      </c>
      <c r="AP9" s="41">
        <v>205.61095890410957</v>
      </c>
      <c r="AQ9" s="41">
        <v>207.96328767123285</v>
      </c>
      <c r="AR9" s="43">
        <f t="shared" si="0"/>
        <v>3714.2032739726037</v>
      </c>
      <c r="AS9" s="43" t="e">
        <f>#REF!/35*29</f>
        <v>#REF!</v>
      </c>
      <c r="AT9" s="43" t="e">
        <f>#REF!/35*6</f>
        <v>#REF!</v>
      </c>
      <c r="AU9" s="36">
        <v>0</v>
      </c>
      <c r="AV9" s="108">
        <v>3335.8672739726035</v>
      </c>
    </row>
    <row r="10" spans="1:48" x14ac:dyDescent="0.3">
      <c r="A10" s="36" t="s">
        <v>39</v>
      </c>
      <c r="B10" s="37">
        <v>10000</v>
      </c>
      <c r="C10" s="36" t="s">
        <v>45</v>
      </c>
      <c r="D10" s="37">
        <v>9133.33</v>
      </c>
      <c r="E10" s="37"/>
      <c r="F10" s="37">
        <v>221</v>
      </c>
      <c r="G10" s="37"/>
      <c r="H10" s="37">
        <v>0</v>
      </c>
      <c r="I10" s="37"/>
      <c r="J10" s="37">
        <v>446</v>
      </c>
      <c r="K10" s="37"/>
      <c r="L10" s="37">
        <v>235</v>
      </c>
      <c r="M10" s="37"/>
      <c r="N10" s="37">
        <v>175</v>
      </c>
      <c r="O10" s="37"/>
      <c r="P10" s="37">
        <v>180</v>
      </c>
      <c r="Q10" s="37"/>
      <c r="R10" s="37">
        <v>175</v>
      </c>
      <c r="S10" s="37"/>
      <c r="T10" s="37"/>
      <c r="U10" s="37"/>
      <c r="V10" s="37"/>
      <c r="W10" s="37"/>
      <c r="X10" s="37"/>
      <c r="Y10" s="37"/>
      <c r="Z10" s="37"/>
      <c r="AA10" s="37">
        <v>150</v>
      </c>
      <c r="AB10" s="38"/>
      <c r="AC10" s="36" t="s">
        <v>44</v>
      </c>
      <c r="AD10" s="36">
        <v>9058</v>
      </c>
      <c r="AE10" s="36">
        <v>7758.33</v>
      </c>
      <c r="AF10" s="39">
        <v>126.40900000000001</v>
      </c>
      <c r="AG10" s="39">
        <v>104.104</v>
      </c>
      <c r="AH10" s="36">
        <v>133.69399999999999</v>
      </c>
      <c r="AI10" s="36">
        <v>121.91200000000001</v>
      </c>
      <c r="AJ10" s="36">
        <v>117.11</v>
      </c>
      <c r="AK10" s="41">
        <v>117.65</v>
      </c>
      <c r="AL10" s="42">
        <v>110.52200000000001</v>
      </c>
      <c r="AM10" s="41">
        <v>110.971</v>
      </c>
      <c r="AN10" s="175">
        <v>68.531914999999998</v>
      </c>
      <c r="AO10" s="41">
        <v>68.495814739726029</v>
      </c>
      <c r="AP10" s="41">
        <v>65.881915000000006</v>
      </c>
      <c r="AQ10" s="41">
        <v>63.672573698630131</v>
      </c>
      <c r="AR10" s="43">
        <f t="shared" si="0"/>
        <v>1208.9542184383563</v>
      </c>
      <c r="AS10" s="43" t="e">
        <f>#REF!</f>
        <v>#REF!</v>
      </c>
      <c r="AT10" s="36"/>
      <c r="AU10" s="36"/>
      <c r="AV10" s="108">
        <v>1208.9832184383563</v>
      </c>
    </row>
    <row r="11" spans="1:48" x14ac:dyDescent="0.3">
      <c r="A11" s="36" t="s">
        <v>39</v>
      </c>
      <c r="B11" s="37">
        <v>17000</v>
      </c>
      <c r="C11" s="36" t="s">
        <v>46</v>
      </c>
      <c r="D11" s="37">
        <v>17000</v>
      </c>
      <c r="E11" s="37"/>
      <c r="F11" s="37">
        <v>419</v>
      </c>
      <c r="G11" s="37"/>
      <c r="H11" s="37">
        <v>443</v>
      </c>
      <c r="I11" s="37"/>
      <c r="J11" s="37">
        <v>138</v>
      </c>
      <c r="K11" s="37"/>
      <c r="L11" s="37">
        <v>699</v>
      </c>
      <c r="M11" s="37"/>
      <c r="N11" s="37">
        <v>333</v>
      </c>
      <c r="O11" s="37"/>
      <c r="P11" s="37">
        <v>343</v>
      </c>
      <c r="Q11" s="37"/>
      <c r="R11" s="37">
        <v>330</v>
      </c>
      <c r="S11" s="37"/>
      <c r="T11" s="37"/>
      <c r="U11" s="37"/>
      <c r="V11" s="37"/>
      <c r="W11" s="37"/>
      <c r="X11" s="37"/>
      <c r="Y11" s="37"/>
      <c r="Z11" s="37"/>
      <c r="AA11" s="37">
        <v>1062.5</v>
      </c>
      <c r="AB11" s="38"/>
      <c r="AC11" s="36" t="s">
        <v>47</v>
      </c>
      <c r="AD11" s="36">
        <v>15937.5</v>
      </c>
      <c r="AE11" s="36">
        <v>13812.5</v>
      </c>
      <c r="AF11" s="39">
        <v>226.256</v>
      </c>
      <c r="AG11" s="40">
        <v>220.614</v>
      </c>
      <c r="AH11" s="36">
        <v>205.768</v>
      </c>
      <c r="AI11" s="36">
        <v>207.18700000000001</v>
      </c>
      <c r="AJ11" s="36">
        <v>198.672</v>
      </c>
      <c r="AK11" s="41">
        <v>205.3</v>
      </c>
      <c r="AL11" s="42">
        <v>186.374</v>
      </c>
      <c r="AM11" s="41">
        <v>190.631</v>
      </c>
      <c r="AN11" s="175">
        <v>191</v>
      </c>
      <c r="AO11" s="41"/>
      <c r="AP11" s="41"/>
      <c r="AQ11" s="41">
        <v>336.94931506849315</v>
      </c>
      <c r="AR11" s="43">
        <f t="shared" si="0"/>
        <v>2168.7513150684931</v>
      </c>
      <c r="AS11" s="43" t="e">
        <f>#REF!</f>
        <v>#REF!</v>
      </c>
      <c r="AT11" s="36"/>
      <c r="AU11" s="36"/>
      <c r="AV11" s="108">
        <v>1553.1923150684931</v>
      </c>
    </row>
    <row r="12" spans="1:48" x14ac:dyDescent="0.3">
      <c r="A12" s="36"/>
      <c r="B12" s="37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8"/>
      <c r="AC12" s="38"/>
      <c r="AD12" s="38"/>
      <c r="AE12" s="38"/>
      <c r="AF12" s="39"/>
      <c r="AG12" s="40"/>
      <c r="AH12" s="38"/>
      <c r="AI12" s="38"/>
      <c r="AJ12" s="38"/>
      <c r="AK12" s="44"/>
      <c r="AL12" s="44"/>
      <c r="AM12" s="42"/>
      <c r="AN12" s="176"/>
      <c r="AO12" s="44"/>
      <c r="AP12" s="44"/>
      <c r="AQ12" s="44"/>
      <c r="AR12" s="43">
        <f t="shared" si="0"/>
        <v>0</v>
      </c>
      <c r="AS12" s="36"/>
      <c r="AT12" s="36"/>
      <c r="AU12" s="36"/>
      <c r="AV12" s="108">
        <v>0</v>
      </c>
    </row>
    <row r="13" spans="1:48" x14ac:dyDescent="0.3">
      <c r="A13" s="36" t="s">
        <v>48</v>
      </c>
      <c r="B13" s="37">
        <v>10000</v>
      </c>
      <c r="C13" s="36" t="s">
        <v>49</v>
      </c>
      <c r="D13" s="37">
        <v>3560</v>
      </c>
      <c r="E13" s="37">
        <v>280</v>
      </c>
      <c r="F13" s="37">
        <f>[16]NSB!M33</f>
        <v>102.16734246575344</v>
      </c>
      <c r="G13" s="37">
        <v>280</v>
      </c>
      <c r="H13" s="37">
        <f>[16]NSB!M34</f>
        <v>96.371610958904128</v>
      </c>
      <c r="I13" s="37">
        <v>280</v>
      </c>
      <c r="J13" s="37">
        <f>[16]NSB!M35</f>
        <v>85.775123287671235</v>
      </c>
      <c r="K13" s="37">
        <v>280</v>
      </c>
      <c r="L13" s="37">
        <f>[16]NSB!M36</f>
        <v>84.968829448383104</v>
      </c>
      <c r="M13" s="37">
        <v>280</v>
      </c>
      <c r="N13" s="37">
        <f>[16]NSB!M37</f>
        <v>77.572058164102685</v>
      </c>
      <c r="O13" s="37">
        <v>280</v>
      </c>
      <c r="P13" s="37">
        <f>[16]NSB!M38</f>
        <v>62.960745205479448</v>
      </c>
      <c r="Q13" s="37">
        <v>280</v>
      </c>
      <c r="R13" s="37">
        <f>[16]NSB!M39</f>
        <v>53.734431496487275</v>
      </c>
      <c r="S13" s="37">
        <v>280</v>
      </c>
      <c r="T13" s="37">
        <f>[16]NSB!M40</f>
        <v>49.334618467482208</v>
      </c>
      <c r="U13" s="37">
        <v>280</v>
      </c>
      <c r="V13" s="37">
        <f>[16]NSB!M41</f>
        <v>31.364624657534247</v>
      </c>
      <c r="W13" s="37">
        <v>280</v>
      </c>
      <c r="X13" s="37">
        <f>[16]NSB!M42</f>
        <v>25.875815342465753</v>
      </c>
      <c r="Y13" s="37">
        <v>280</v>
      </c>
      <c r="Z13" s="37">
        <f>[16]NSB!M43</f>
        <v>20.387006027397263</v>
      </c>
      <c r="AA13" s="37">
        <v>280</v>
      </c>
      <c r="AB13" s="38">
        <f>[16]NSB!M44</f>
        <v>14.898196712328767</v>
      </c>
      <c r="AC13" s="36" t="s">
        <v>50</v>
      </c>
      <c r="AD13" s="36">
        <v>742.66</v>
      </c>
      <c r="AE13" s="36">
        <v>0</v>
      </c>
      <c r="AF13" s="39">
        <v>3.6829999999999998</v>
      </c>
      <c r="AG13" s="40">
        <v>2.6339999999999999</v>
      </c>
      <c r="AH13" s="36"/>
      <c r="AI13" s="36">
        <v>12.1</v>
      </c>
      <c r="AJ13" s="36"/>
      <c r="AK13" s="41">
        <v>0</v>
      </c>
      <c r="AL13" s="42">
        <v>0</v>
      </c>
      <c r="AM13" s="41"/>
      <c r="AN13" s="175"/>
      <c r="AO13" s="41"/>
      <c r="AP13" s="41"/>
      <c r="AQ13" s="41"/>
      <c r="AR13" s="43">
        <f t="shared" si="0"/>
        <v>18.417000000000002</v>
      </c>
      <c r="AS13" s="43" t="e">
        <f>#REF!/10*4</f>
        <v>#REF!</v>
      </c>
      <c r="AT13" s="43" t="e">
        <f>#REF!/10*6</f>
        <v>#REF!</v>
      </c>
      <c r="AU13" s="36"/>
      <c r="AV13" s="108">
        <v>18.417000000000002</v>
      </c>
    </row>
    <row r="14" spans="1:48" x14ac:dyDescent="0.3">
      <c r="A14" s="36" t="s">
        <v>51</v>
      </c>
      <c r="B14" s="37">
        <v>5000</v>
      </c>
      <c r="C14" s="36" t="s">
        <v>52</v>
      </c>
      <c r="D14" s="37">
        <v>5000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>
        <v>673</v>
      </c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8">
        <f>B14*0.2/12*6</f>
        <v>500</v>
      </c>
      <c r="AC14" s="36" t="s">
        <v>44</v>
      </c>
      <c r="AD14" s="36">
        <v>5000</v>
      </c>
      <c r="AE14" s="36">
        <v>4500</v>
      </c>
      <c r="AF14" s="39"/>
      <c r="AG14" s="40"/>
      <c r="AH14" s="36"/>
      <c r="AI14" s="36"/>
      <c r="AJ14" s="36"/>
      <c r="AK14" s="41">
        <v>440.202</v>
      </c>
      <c r="AL14" s="42">
        <v>0</v>
      </c>
      <c r="AM14" s="41"/>
      <c r="AN14" s="175"/>
      <c r="AO14" s="41"/>
      <c r="AP14" s="41"/>
      <c r="AQ14" s="41">
        <v>272.7</v>
      </c>
      <c r="AR14" s="43">
        <f t="shared" si="0"/>
        <v>712.90200000000004</v>
      </c>
      <c r="AS14" s="36"/>
      <c r="AT14" s="43" t="e">
        <f>#REF!</f>
        <v>#REF!</v>
      </c>
      <c r="AU14" s="36"/>
      <c r="AV14" s="108">
        <v>712.9</v>
      </c>
    </row>
    <row r="15" spans="1:48" x14ac:dyDescent="0.3">
      <c r="A15" s="36"/>
      <c r="B15" s="37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8"/>
      <c r="AC15" s="38"/>
      <c r="AD15" s="38"/>
      <c r="AE15" s="38"/>
      <c r="AF15" s="39"/>
      <c r="AG15" s="40"/>
      <c r="AH15" s="38"/>
      <c r="AI15" s="38"/>
      <c r="AJ15" s="38"/>
      <c r="AK15" s="44"/>
      <c r="AL15" s="44"/>
      <c r="AM15" s="42"/>
      <c r="AN15" s="176"/>
      <c r="AO15" s="44"/>
      <c r="AP15" s="44"/>
      <c r="AQ15" s="44"/>
      <c r="AR15" s="43">
        <f t="shared" si="0"/>
        <v>0</v>
      </c>
      <c r="AS15" s="36"/>
      <c r="AT15" s="36"/>
      <c r="AU15" s="36"/>
      <c r="AV15" s="108">
        <v>0</v>
      </c>
    </row>
    <row r="16" spans="1:48" x14ac:dyDescent="0.3">
      <c r="A16" s="36" t="s">
        <v>53</v>
      </c>
      <c r="B16" s="37">
        <v>15000</v>
      </c>
      <c r="C16" s="45" t="s">
        <v>54</v>
      </c>
      <c r="D16" s="37">
        <v>11710</v>
      </c>
      <c r="E16" s="37">
        <v>214</v>
      </c>
      <c r="F16" s="37">
        <f>'[16]BOC 15 Bn'!L52</f>
        <v>315.66584876712335</v>
      </c>
      <c r="G16" s="37">
        <v>214</v>
      </c>
      <c r="H16" s="37">
        <f>'[16]BOC 15 Bn'!L53</f>
        <v>285.83307945205479</v>
      </c>
      <c r="I16" s="37">
        <v>214</v>
      </c>
      <c r="J16" s="37">
        <f>'[16]BOC 15 Bn'!L54</f>
        <v>236.1687846575343</v>
      </c>
      <c r="K16" s="37">
        <v>214</v>
      </c>
      <c r="L16" s="37">
        <f>'[16]BOC 15 Bn'!L55</f>
        <v>246.35251561643835</v>
      </c>
      <c r="M16" s="37">
        <v>214</v>
      </c>
      <c r="N16" s="37">
        <f>'[16]BOC 15 Bn'!L56</f>
        <v>208.32098630136989</v>
      </c>
      <c r="O16" s="37">
        <v>214</v>
      </c>
      <c r="P16" s="37">
        <f>'[16]BOC 15 Bn'!L57</f>
        <v>207.69203342465752</v>
      </c>
      <c r="Q16" s="37">
        <v>214</v>
      </c>
      <c r="R16" s="37">
        <f>'[16]BOC 15 Bn'!L58</f>
        <v>199.2157808219178</v>
      </c>
      <c r="S16" s="37">
        <v>214</v>
      </c>
      <c r="T16" s="37">
        <f>'[16]BOC 15 Bn'!L59</f>
        <v>191.13649315972606</v>
      </c>
      <c r="U16" s="37">
        <v>243</v>
      </c>
      <c r="V16" s="37">
        <f>'[16]BOC 15 Bn'!L60</f>
        <v>180.79436712328769</v>
      </c>
      <c r="W16" s="37">
        <v>243</v>
      </c>
      <c r="X16" s="37">
        <f>'[16]BOC 15 Bn'!L61</f>
        <v>176.49226849315065</v>
      </c>
      <c r="Y16" s="37">
        <v>243</v>
      </c>
      <c r="Z16" s="37">
        <f>'[16]BOC 15 Bn'!L62</f>
        <v>172.19016986301369</v>
      </c>
      <c r="AA16" s="37">
        <v>243</v>
      </c>
      <c r="AB16" s="38">
        <f>'[16]BOC 15 Bn'!L63</f>
        <v>167.88807123287671</v>
      </c>
      <c r="AC16" s="45" t="s">
        <v>44</v>
      </c>
      <c r="AD16" s="40">
        <v>9240</v>
      </c>
      <c r="AE16" s="40">
        <v>7296</v>
      </c>
      <c r="AF16" s="39">
        <v>106.23429999999999</v>
      </c>
      <c r="AG16" s="40">
        <v>61.369</v>
      </c>
      <c r="AH16" s="40">
        <v>94.888999999999996</v>
      </c>
      <c r="AI16" s="40">
        <v>85.775999999999996</v>
      </c>
      <c r="AJ16" s="40">
        <v>81.138999999999996</v>
      </c>
      <c r="AK16" s="42">
        <v>71.14</v>
      </c>
      <c r="AL16" s="42">
        <v>67.813999999999993</v>
      </c>
      <c r="AM16" s="42">
        <v>64.947999999999993</v>
      </c>
      <c r="AN16" s="177">
        <v>65</v>
      </c>
      <c r="AO16" s="42">
        <v>59</v>
      </c>
      <c r="AP16" s="42">
        <v>57</v>
      </c>
      <c r="AQ16" s="42">
        <v>54</v>
      </c>
      <c r="AR16" s="43">
        <f t="shared" si="0"/>
        <v>868.30930000000001</v>
      </c>
      <c r="AS16" s="43" t="e">
        <f>#REF!/3*2</f>
        <v>#REF!</v>
      </c>
      <c r="AT16" s="43" t="e">
        <f>#REF!/3</f>
        <v>#REF!</v>
      </c>
      <c r="AU16" s="36"/>
      <c r="AV16" s="108">
        <v>868.25729999999999</v>
      </c>
    </row>
    <row r="17" spans="1:48" x14ac:dyDescent="0.3">
      <c r="A17" s="36" t="s">
        <v>53</v>
      </c>
      <c r="B17" s="37">
        <v>5000</v>
      </c>
      <c r="C17" s="36" t="s">
        <v>55</v>
      </c>
      <c r="D17" s="37">
        <v>4820</v>
      </c>
      <c r="E17" s="37">
        <v>20</v>
      </c>
      <c r="F17" s="37">
        <f>'[16]BOC 5 Bn'!L44</f>
        <v>128.16961095890412</v>
      </c>
      <c r="G17" s="37">
        <v>20</v>
      </c>
      <c r="H17" s="37">
        <f>'[16]BOC 5 Bn'!L45</f>
        <v>116.83788493150686</v>
      </c>
      <c r="I17" s="37">
        <v>20</v>
      </c>
      <c r="J17" s="37">
        <f>'[16]BOC 5 Bn'!L46</f>
        <v>97.946849315068476</v>
      </c>
      <c r="K17" s="37">
        <v>20</v>
      </c>
      <c r="L17" s="37">
        <f>'[16]BOC 5 Bn'!L47</f>
        <v>103.89807671</v>
      </c>
      <c r="M17" s="37">
        <v>20</v>
      </c>
      <c r="N17" s="37">
        <f>'[16]BOC 5 Bn'!L48</f>
        <v>88.658652063835618</v>
      </c>
      <c r="O17" s="37">
        <v>20</v>
      </c>
      <c r="P17" s="37">
        <f>'[16]BOC 5 Bn'!L49</f>
        <v>90.373863628897453</v>
      </c>
      <c r="Q17" s="37">
        <v>20</v>
      </c>
      <c r="R17" s="37">
        <f>'[16]BOC 5 Bn'!L50</f>
        <v>88.201413694383561</v>
      </c>
      <c r="S17" s="37">
        <v>20</v>
      </c>
      <c r="T17" s="37">
        <f>'[16]BOC 5 Bn'!L51</f>
        <v>85.403956170136993</v>
      </c>
      <c r="U17" s="37">
        <v>20</v>
      </c>
      <c r="V17" s="37">
        <f>'[16]BOC 5 Bn'!L52</f>
        <v>85.251189041095884</v>
      </c>
      <c r="W17" s="37">
        <v>20</v>
      </c>
      <c r="X17" s="37">
        <f>'[16]BOC 5 Bn'!L53</f>
        <v>84.885304109589029</v>
      </c>
      <c r="Y17" s="37">
        <v>20</v>
      </c>
      <c r="Z17" s="37">
        <f>'[16]BOC 5 Bn'!L54</f>
        <v>84.519419178082188</v>
      </c>
      <c r="AA17" s="37">
        <v>20</v>
      </c>
      <c r="AB17" s="38">
        <f>'[16]BOC 5 Bn'!L55</f>
        <v>84.153534246575319</v>
      </c>
      <c r="AC17" s="36" t="s">
        <v>44</v>
      </c>
      <c r="AD17" s="36">
        <v>4580</v>
      </c>
      <c r="AE17" s="36">
        <v>4345</v>
      </c>
      <c r="AF17" s="39">
        <v>56.781999999999996</v>
      </c>
      <c r="AG17" s="40">
        <v>53.677</v>
      </c>
      <c r="AH17" s="36">
        <v>48.436</v>
      </c>
      <c r="AI17" s="36">
        <v>50.228000000000002</v>
      </c>
      <c r="AJ17" s="36">
        <v>46.45</v>
      </c>
      <c r="AK17" s="41">
        <v>44.8</v>
      </c>
      <c r="AL17" s="42">
        <v>40.368000000000002</v>
      </c>
      <c r="AM17" s="41">
        <v>39.289000000000001</v>
      </c>
      <c r="AN17" s="175">
        <v>39.200000000000003</v>
      </c>
      <c r="AO17" s="41">
        <v>39.1</v>
      </c>
      <c r="AP17" s="41">
        <v>39</v>
      </c>
      <c r="AQ17" s="41">
        <v>39</v>
      </c>
      <c r="AR17" s="43">
        <f t="shared" si="0"/>
        <v>536.33000000000004</v>
      </c>
      <c r="AS17" s="36"/>
      <c r="AT17" s="43" t="e">
        <f>#REF!</f>
        <v>#REF!</v>
      </c>
      <c r="AU17" s="36"/>
      <c r="AV17" s="108">
        <v>536.173</v>
      </c>
    </row>
    <row r="18" spans="1:48" x14ac:dyDescent="0.3">
      <c r="A18" s="36" t="s">
        <v>53</v>
      </c>
      <c r="B18" s="37">
        <v>3000</v>
      </c>
      <c r="C18" s="36" t="s">
        <v>56</v>
      </c>
      <c r="D18" s="37">
        <v>0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>
        <v>50</v>
      </c>
      <c r="R18" s="37">
        <v>9</v>
      </c>
      <c r="S18" s="37">
        <v>50</v>
      </c>
      <c r="T18" s="37">
        <f>576*0.24/365*31</f>
        <v>11.740931506849316</v>
      </c>
      <c r="U18" s="37">
        <v>50</v>
      </c>
      <c r="V18" s="37">
        <f>1000*0.24/365*30</f>
        <v>19.726027397260275</v>
      </c>
      <c r="W18" s="37">
        <v>50</v>
      </c>
      <c r="X18" s="37">
        <f>1500*0.24/365*30</f>
        <v>29.589041095890408</v>
      </c>
      <c r="Y18" s="37">
        <v>50</v>
      </c>
      <c r="Z18" s="37">
        <f>2000*0.24/365*30</f>
        <v>39.452054794520549</v>
      </c>
      <c r="AA18" s="37">
        <v>50</v>
      </c>
      <c r="AB18" s="38">
        <f>2500*0.24/365*30</f>
        <v>49.315068493150683</v>
      </c>
      <c r="AC18" s="36" t="s">
        <v>57</v>
      </c>
      <c r="AD18" s="36">
        <v>1665.9</v>
      </c>
      <c r="AE18" s="36">
        <v>1909</v>
      </c>
      <c r="AF18" s="39">
        <v>35.67</v>
      </c>
      <c r="AG18" s="40">
        <v>30.776</v>
      </c>
      <c r="AH18" s="36">
        <v>25.620999999999999</v>
      </c>
      <c r="AI18" s="36">
        <v>21.704999999999998</v>
      </c>
      <c r="AJ18" s="36">
        <v>19.11</v>
      </c>
      <c r="AK18" s="41">
        <v>19.260000000000002</v>
      </c>
      <c r="AL18" s="42">
        <v>17.725999999999999</v>
      </c>
      <c r="AM18" s="41">
        <v>18.251999999999999</v>
      </c>
      <c r="AN18" s="175">
        <v>17.416356164383561</v>
      </c>
      <c r="AO18" s="41">
        <v>16.960191780821916</v>
      </c>
      <c r="AP18" s="41">
        <v>16.733250000000002</v>
      </c>
      <c r="AQ18" s="41">
        <v>16.504027397260273</v>
      </c>
      <c r="AR18" s="43">
        <f t="shared" si="0"/>
        <v>255.73382534246574</v>
      </c>
      <c r="AS18" s="36"/>
      <c r="AT18" s="36"/>
      <c r="AU18" s="43" t="e">
        <f>#REF!</f>
        <v>#REF!</v>
      </c>
      <c r="AV18" s="108">
        <v>255.68182534246571</v>
      </c>
    </row>
    <row r="19" spans="1:48" x14ac:dyDescent="0.3">
      <c r="A19" s="36"/>
      <c r="B19" s="37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8"/>
      <c r="AC19" s="38"/>
      <c r="AD19" s="38"/>
      <c r="AE19" s="38"/>
      <c r="AF19" s="39"/>
      <c r="AG19" s="40"/>
      <c r="AH19" s="38"/>
      <c r="AI19" s="38"/>
      <c r="AJ19" s="38"/>
      <c r="AK19" s="44"/>
      <c r="AL19" s="44"/>
      <c r="AM19" s="42" t="s">
        <v>124</v>
      </c>
      <c r="AN19" s="176"/>
      <c r="AO19" s="44"/>
      <c r="AP19" s="44"/>
      <c r="AQ19" s="44"/>
      <c r="AR19" s="43" t="e">
        <f t="shared" si="0"/>
        <v>#VALUE!</v>
      </c>
      <c r="AS19" s="36"/>
      <c r="AT19" s="36"/>
      <c r="AU19" s="36"/>
      <c r="AV19" s="108">
        <v>0</v>
      </c>
    </row>
    <row r="20" spans="1:48" x14ac:dyDescent="0.3">
      <c r="A20" s="36" t="s">
        <v>58</v>
      </c>
      <c r="B20" s="37">
        <v>3000</v>
      </c>
      <c r="C20" s="36" t="s">
        <v>59</v>
      </c>
      <c r="D20" s="37">
        <v>2312</v>
      </c>
      <c r="E20" s="37">
        <v>62.5</v>
      </c>
      <c r="F20" s="37">
        <f>[16]NTB3Bn!K21</f>
        <v>59.50513698630138</v>
      </c>
      <c r="G20" s="37">
        <v>62.5</v>
      </c>
      <c r="H20" s="37">
        <f>[16]NTB3Bn!K22</f>
        <v>57.950616438356178</v>
      </c>
      <c r="I20" s="37">
        <v>62.5</v>
      </c>
      <c r="J20" s="37">
        <f>[16]NTB3Bn!K23</f>
        <v>51.073150684931512</v>
      </c>
      <c r="K20" s="37">
        <v>62.5</v>
      </c>
      <c r="L20" s="37">
        <f>[16]NTB3Bn!K24</f>
        <v>54.97457191780822</v>
      </c>
      <c r="M20" s="37">
        <v>62.5</v>
      </c>
      <c r="N20" s="37">
        <f>[16]NTB3Bn!$K$25</f>
        <v>51.309143835616439</v>
      </c>
      <c r="O20" s="37">
        <v>62.5</v>
      </c>
      <c r="P20" s="37">
        <f>[16]NTB3Bn!$K$26</f>
        <v>40.639726027397259</v>
      </c>
      <c r="Q20" s="37">
        <v>62.5</v>
      </c>
      <c r="R20" s="37">
        <f>[16]NTB3Bn!$K$27</f>
        <v>38.136986301369859</v>
      </c>
      <c r="S20" s="37">
        <v>62.5</v>
      </c>
      <c r="T20" s="37">
        <f>[16]NTB3Bn!$K$28</f>
        <v>37.896438356164388</v>
      </c>
      <c r="U20" s="37">
        <v>62.5</v>
      </c>
      <c r="V20" s="37">
        <f>[16]NTB3Bn!$K$29</f>
        <v>34.142465753424659</v>
      </c>
      <c r="W20" s="37">
        <v>62.5</v>
      </c>
      <c r="X20" s="37">
        <f>[16]NTB3Bn!$K$30</f>
        <v>33.004383561643834</v>
      </c>
      <c r="Y20" s="37">
        <v>62.5</v>
      </c>
      <c r="Z20" s="37">
        <f>[16]NTB3Bn!$K$31</f>
        <v>31.866301369863013</v>
      </c>
      <c r="AA20" s="37">
        <v>62.5</v>
      </c>
      <c r="AB20" s="38">
        <f>[16]NTB3Bn!$K$32</f>
        <v>30.728219178082192</v>
      </c>
      <c r="AC20" s="36" t="s">
        <v>60</v>
      </c>
      <c r="AD20" s="36">
        <v>1625</v>
      </c>
      <c r="AE20" s="36">
        <v>1125</v>
      </c>
      <c r="AF20" s="39">
        <v>21.431000000000001</v>
      </c>
      <c r="AG20" s="40">
        <v>16.388999999999999</v>
      </c>
      <c r="AH20" s="36">
        <v>16.79</v>
      </c>
      <c r="AI20" s="36">
        <v>15.493</v>
      </c>
      <c r="AJ20" s="36">
        <v>13.9</v>
      </c>
      <c r="AK20" s="41">
        <v>12.82</v>
      </c>
      <c r="AL20" s="42">
        <v>12.45</v>
      </c>
      <c r="AM20" s="41">
        <v>9.98</v>
      </c>
      <c r="AN20" s="175">
        <v>9.5</v>
      </c>
      <c r="AO20" s="41">
        <v>8.9</v>
      </c>
      <c r="AP20" s="41">
        <v>8.4</v>
      </c>
      <c r="AQ20" s="41">
        <v>7.8</v>
      </c>
      <c r="AR20" s="43">
        <f t="shared" si="0"/>
        <v>153.85300000000004</v>
      </c>
      <c r="AS20" s="43" t="e">
        <f>#REF!</f>
        <v>#REF!</v>
      </c>
      <c r="AT20" s="36"/>
      <c r="AU20" s="36"/>
      <c r="AV20" s="108">
        <v>153.85300000000004</v>
      </c>
    </row>
    <row r="21" spans="1:48" x14ac:dyDescent="0.3">
      <c r="A21" s="36" t="s">
        <v>58</v>
      </c>
      <c r="B21" s="37">
        <v>3000</v>
      </c>
      <c r="C21" s="36" t="s">
        <v>61</v>
      </c>
      <c r="D21" s="37">
        <v>0</v>
      </c>
      <c r="E21" s="37"/>
      <c r="F21" s="37"/>
      <c r="G21" s="37"/>
      <c r="H21" s="37"/>
      <c r="I21" s="37"/>
      <c r="J21" s="37"/>
      <c r="K21" s="37"/>
      <c r="L21" s="37"/>
      <c r="M21" s="37">
        <v>167</v>
      </c>
      <c r="N21" s="37">
        <f>'[16]NTB 3 new'!$K$11</f>
        <v>48.945205479452056</v>
      </c>
      <c r="O21" s="37">
        <v>167</v>
      </c>
      <c r="P21" s="37">
        <f>'[16]NTB 3 new'!$K$12</f>
        <v>57.32027396585918</v>
      </c>
      <c r="Q21" s="37">
        <v>167</v>
      </c>
      <c r="R21" s="37">
        <f>'[16]NTB 3 new'!$K$13</f>
        <v>52.208219165030151</v>
      </c>
      <c r="S21" s="37">
        <v>167</v>
      </c>
      <c r="T21" s="37">
        <f>'[16]NTB 3 new'!$K$14</f>
        <v>44.054794502926029</v>
      </c>
      <c r="U21" s="37">
        <v>167</v>
      </c>
      <c r="V21" s="37">
        <f>'[16]NTB 3 new'!$K$15</f>
        <v>41.117808195682201</v>
      </c>
      <c r="W21" s="37">
        <v>167</v>
      </c>
      <c r="X21" s="37">
        <f>'[16]NTB 3 new'!$K$16</f>
        <v>38.180821870816438</v>
      </c>
      <c r="Y21" s="37">
        <v>167</v>
      </c>
      <c r="Z21" s="37">
        <f>'[16]NTB 3 new'!$K$17</f>
        <v>35.243835528328766</v>
      </c>
      <c r="AA21" s="37">
        <v>167</v>
      </c>
      <c r="AB21" s="38">
        <f>'[16]NTB 3 new'!$K$18</f>
        <v>32.306849168219181</v>
      </c>
      <c r="AC21" s="36" t="s">
        <v>60</v>
      </c>
      <c r="AD21" s="36">
        <v>1666.67</v>
      </c>
      <c r="AE21" s="36">
        <v>333.33</v>
      </c>
      <c r="AF21" s="39">
        <v>17.52</v>
      </c>
      <c r="AG21" s="40">
        <v>14.568</v>
      </c>
      <c r="AH21" s="36">
        <v>13.585000000000001</v>
      </c>
      <c r="AI21" s="36">
        <v>10.254</v>
      </c>
      <c r="AJ21" s="36">
        <v>8.8290000000000006</v>
      </c>
      <c r="AK21" s="41">
        <v>6.78</v>
      </c>
      <c r="AL21" s="42">
        <v>4.6790000000000003</v>
      </c>
      <c r="AM21" s="41">
        <v>3.11</v>
      </c>
      <c r="AN21" s="175">
        <v>3.1</v>
      </c>
      <c r="AO21" s="41">
        <v>1.5</v>
      </c>
      <c r="AP21" s="41"/>
      <c r="AQ21" s="41"/>
      <c r="AR21" s="43">
        <f t="shared" si="0"/>
        <v>83.924999999999997</v>
      </c>
      <c r="AS21" s="43" t="e">
        <f>#REF!</f>
        <v>#REF!</v>
      </c>
      <c r="AT21" s="36"/>
      <c r="AU21" s="36"/>
      <c r="AV21" s="108">
        <v>82.424999999999997</v>
      </c>
    </row>
    <row r="22" spans="1:48" x14ac:dyDescent="0.3">
      <c r="A22" s="36" t="s">
        <v>58</v>
      </c>
      <c r="B22" s="37">
        <v>2000</v>
      </c>
      <c r="C22" s="36" t="s">
        <v>62</v>
      </c>
      <c r="D22" s="37">
        <v>0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>
        <v>111</v>
      </c>
      <c r="T22" s="37">
        <f>'[16]NTB 2Bn'!$K$11</f>
        <v>39.943013698630139</v>
      </c>
      <c r="U22" s="37">
        <v>111</v>
      </c>
      <c r="V22" s="37">
        <f>'[16]NTB 2Bn'!$K$12</f>
        <v>34.395372890967664</v>
      </c>
      <c r="W22" s="37">
        <v>111</v>
      </c>
      <c r="X22" s="37">
        <f>'[16]NTB 2Bn'!$K$13</f>
        <v>31.327853849950685</v>
      </c>
      <c r="Y22" s="37">
        <v>111</v>
      </c>
      <c r="Z22" s="37">
        <f>'[16]NTB 2Bn'!$K$14</f>
        <v>30.34885839893041</v>
      </c>
      <c r="AA22" s="37">
        <v>111</v>
      </c>
      <c r="AB22" s="38">
        <f>'[16]NTB 2Bn'!$K$15</f>
        <v>27.411872083463013</v>
      </c>
      <c r="AC22" s="36" t="s">
        <v>60</v>
      </c>
      <c r="AD22" s="36">
        <v>1444.44</v>
      </c>
      <c r="AE22" s="36">
        <v>555.54999999999995</v>
      </c>
      <c r="AF22" s="39">
        <v>16.399999999999999</v>
      </c>
      <c r="AG22" s="40">
        <v>14.071</v>
      </c>
      <c r="AH22" s="36">
        <v>13.44</v>
      </c>
      <c r="AI22" s="36">
        <v>10.647</v>
      </c>
      <c r="AJ22" s="36">
        <v>9.7789999999999999</v>
      </c>
      <c r="AK22" s="41">
        <v>8.1199999999999992</v>
      </c>
      <c r="AL22" s="42">
        <v>6.23</v>
      </c>
      <c r="AM22" s="41">
        <v>5.1989999999999998</v>
      </c>
      <c r="AN22" s="175">
        <v>4</v>
      </c>
      <c r="AO22" s="41">
        <v>3</v>
      </c>
      <c r="AP22" s="41">
        <v>2</v>
      </c>
      <c r="AQ22" s="41">
        <v>1</v>
      </c>
      <c r="AR22" s="43">
        <f t="shared" si="0"/>
        <v>93.885999999999996</v>
      </c>
      <c r="AS22" s="36"/>
      <c r="AT22" s="36"/>
      <c r="AU22" s="43" t="e">
        <f>#REF!</f>
        <v>#REF!</v>
      </c>
      <c r="AV22" s="108">
        <v>93.885999999999996</v>
      </c>
    </row>
    <row r="23" spans="1:48" x14ac:dyDescent="0.3">
      <c r="A23" s="36" t="s">
        <v>58</v>
      </c>
      <c r="B23" s="37">
        <v>3000</v>
      </c>
      <c r="C23" s="36" t="s">
        <v>63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8"/>
      <c r="AC23" s="36" t="s">
        <v>60</v>
      </c>
      <c r="AD23" s="36">
        <v>0</v>
      </c>
      <c r="AE23" s="36">
        <v>2165</v>
      </c>
      <c r="AF23" s="39"/>
      <c r="AG23" s="40"/>
      <c r="AH23" s="36">
        <v>34.99</v>
      </c>
      <c r="AI23" s="36">
        <v>30.977</v>
      </c>
      <c r="AJ23" s="36">
        <v>29.78</v>
      </c>
      <c r="AK23" s="41">
        <v>24.13</v>
      </c>
      <c r="AL23" s="42">
        <v>23.26</v>
      </c>
      <c r="AM23" s="41">
        <v>21.35</v>
      </c>
      <c r="AN23" s="175">
        <v>17</v>
      </c>
      <c r="AO23" s="41">
        <v>16.100000000000001</v>
      </c>
      <c r="AP23" s="41">
        <v>14.2</v>
      </c>
      <c r="AQ23" s="41">
        <v>13.31</v>
      </c>
      <c r="AR23" s="43">
        <f t="shared" si="0"/>
        <v>225.09699999999998</v>
      </c>
      <c r="AS23" s="36"/>
      <c r="AT23" s="36"/>
      <c r="AU23" s="43"/>
      <c r="AV23" s="108">
        <v>225.09699999999998</v>
      </c>
    </row>
    <row r="24" spans="1:48" s="172" customFormat="1" x14ac:dyDescent="0.3">
      <c r="A24" s="164" t="s">
        <v>58</v>
      </c>
      <c r="B24" s="165">
        <v>1000</v>
      </c>
      <c r="C24" s="164" t="s">
        <v>113</v>
      </c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6"/>
      <c r="AC24" s="164" t="s">
        <v>60</v>
      </c>
      <c r="AD24" s="167">
        <v>0</v>
      </c>
      <c r="AE24" s="167">
        <v>888</v>
      </c>
      <c r="AF24" s="168">
        <v>0</v>
      </c>
      <c r="AG24" s="168">
        <v>0</v>
      </c>
      <c r="AH24" s="167">
        <v>0</v>
      </c>
      <c r="AI24" s="167">
        <v>0</v>
      </c>
      <c r="AJ24" s="167">
        <v>0</v>
      </c>
      <c r="AK24" s="169">
        <v>9.0500000000000007</v>
      </c>
      <c r="AL24" s="170">
        <v>7.98</v>
      </c>
      <c r="AM24" s="179">
        <v>8.3109999999999999</v>
      </c>
      <c r="AN24" s="178">
        <v>7.2</v>
      </c>
      <c r="AO24" s="169">
        <v>7</v>
      </c>
      <c r="AP24" s="169">
        <v>6.2</v>
      </c>
      <c r="AQ24" s="169">
        <v>6</v>
      </c>
      <c r="AR24" s="43">
        <f t="shared" si="0"/>
        <v>51.741000000000007</v>
      </c>
      <c r="AS24" s="164"/>
      <c r="AT24" s="164"/>
      <c r="AU24" s="171"/>
      <c r="AV24" s="182">
        <v>51.741000000000007</v>
      </c>
    </row>
    <row r="25" spans="1:48" x14ac:dyDescent="0.3">
      <c r="A25" s="36"/>
      <c r="B25" s="37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8"/>
      <c r="AC25" s="38"/>
      <c r="AD25" s="38"/>
      <c r="AE25" s="38"/>
      <c r="AF25" s="39"/>
      <c r="AG25" s="40"/>
      <c r="AH25" s="38"/>
      <c r="AI25" s="38"/>
      <c r="AJ25" s="38"/>
      <c r="AK25" s="44"/>
      <c r="AL25" s="44"/>
      <c r="AM25" s="42"/>
      <c r="AN25" s="176"/>
      <c r="AO25" s="44"/>
      <c r="AP25" s="44"/>
      <c r="AQ25" s="44"/>
      <c r="AR25" s="43">
        <f t="shared" si="0"/>
        <v>0</v>
      </c>
      <c r="AS25" s="36"/>
      <c r="AT25" s="36"/>
      <c r="AU25" s="36"/>
      <c r="AV25" s="108">
        <v>0</v>
      </c>
    </row>
    <row r="26" spans="1:48" x14ac:dyDescent="0.3">
      <c r="A26" s="36" t="s">
        <v>64</v>
      </c>
      <c r="B26" s="37">
        <v>2000</v>
      </c>
      <c r="C26" s="36" t="s">
        <v>65</v>
      </c>
      <c r="D26" s="37">
        <v>1648</v>
      </c>
      <c r="E26" s="37">
        <v>28</v>
      </c>
      <c r="F26" s="37">
        <f>'[16]Seylan 2Bn'!$K$54</f>
        <v>32.995618630136981</v>
      </c>
      <c r="G26" s="37">
        <v>28</v>
      </c>
      <c r="H26" s="37">
        <f>'[16]Seylan 2Bn'!$K$55</f>
        <v>32.444379178082194</v>
      </c>
      <c r="I26" s="37">
        <v>30</v>
      </c>
      <c r="J26" s="37">
        <f>'[16]Seylan 2Bn'!$K$56</f>
        <v>28.806706849315066</v>
      </c>
      <c r="K26" s="37">
        <v>30</v>
      </c>
      <c r="L26" s="37">
        <f>'[16]Seylan 2Bn'!$K$57</f>
        <v>31.30252602739726</v>
      </c>
      <c r="M26" s="37">
        <v>30</v>
      </c>
      <c r="N26" s="37">
        <f>'[16]Seylan 2Bn'!$K$58+'[16]Seylan 2Bn'!K59</f>
        <v>35.369687671232882</v>
      </c>
      <c r="O26" s="37">
        <v>30</v>
      </c>
      <c r="P26" s="37">
        <f>'[16]Seylan 2Bn'!$K$60</f>
        <v>36.254712328767127</v>
      </c>
      <c r="Q26" s="37">
        <v>33</v>
      </c>
      <c r="R26" s="37">
        <f>'[16]Seylan 2Bn'!$K$61</f>
        <v>34.397260273972606</v>
      </c>
      <c r="S26" s="37">
        <v>33</v>
      </c>
      <c r="T26" s="37">
        <f>'[16]Seylan 2Bn'!$K$62</f>
        <v>34.761871232876715</v>
      </c>
      <c r="U26" s="37">
        <v>33</v>
      </c>
      <c r="V26" s="37">
        <f>'[16]Seylan 2Bn'!$K$63</f>
        <v>33.979906849315078</v>
      </c>
      <c r="W26" s="37">
        <v>33</v>
      </c>
      <c r="X26" s="37">
        <f>'[16]Seylan 2Bn'!$K$64</f>
        <v>33.197942465753435</v>
      </c>
      <c r="Y26" s="37">
        <v>36</v>
      </c>
      <c r="Z26" s="37">
        <f>'[16]Seylan 2Bn'!$K$65</f>
        <v>26.931984657534247</v>
      </c>
      <c r="AA26" s="37">
        <v>36</v>
      </c>
      <c r="AB26" s="38">
        <f>'[16]Seylan 2Bn'!$K$66</f>
        <v>26.223248219178085</v>
      </c>
      <c r="AC26" s="45" t="s">
        <v>44</v>
      </c>
      <c r="AD26" s="40">
        <v>1296</v>
      </c>
      <c r="AE26" s="40">
        <v>918</v>
      </c>
      <c r="AF26" s="39">
        <v>21.504000000000001</v>
      </c>
      <c r="AG26" s="40">
        <v>9.7710000000000008</v>
      </c>
      <c r="AH26" s="40">
        <v>20.224</v>
      </c>
      <c r="AI26" s="40">
        <v>13.4</v>
      </c>
      <c r="AJ26" s="40">
        <v>12.986000000000001</v>
      </c>
      <c r="AK26" s="42">
        <v>11.85</v>
      </c>
      <c r="AL26" s="42">
        <v>11.507</v>
      </c>
      <c r="AM26" s="42">
        <v>10.768000000000001</v>
      </c>
      <c r="AN26" s="177">
        <v>10</v>
      </c>
      <c r="AO26" s="42">
        <v>7.2</v>
      </c>
      <c r="AP26" s="42">
        <v>6.6</v>
      </c>
      <c r="AQ26" s="42">
        <v>6</v>
      </c>
      <c r="AR26" s="43">
        <f t="shared" si="0"/>
        <v>141.81</v>
      </c>
      <c r="AS26" s="43" t="e">
        <f>#REF!/2</f>
        <v>#REF!</v>
      </c>
      <c r="AT26" s="43" t="e">
        <f>#REF!/2</f>
        <v>#REF!</v>
      </c>
      <c r="AU26" s="36"/>
      <c r="AV26" s="108">
        <v>141.79499999999999</v>
      </c>
    </row>
    <row r="27" spans="1:48" x14ac:dyDescent="0.3">
      <c r="A27" s="36" t="s">
        <v>64</v>
      </c>
      <c r="B27" s="37">
        <v>2000</v>
      </c>
      <c r="C27" s="36" t="s">
        <v>66</v>
      </c>
      <c r="D27" s="37">
        <v>0</v>
      </c>
      <c r="E27" s="37"/>
      <c r="F27" s="37"/>
      <c r="G27" s="37"/>
      <c r="H27" s="37"/>
      <c r="I27" s="37"/>
      <c r="J27" s="37"/>
      <c r="K27" s="37">
        <v>0</v>
      </c>
      <c r="L27" s="37">
        <f>'[16]Seylan 2Bn new'!$J$10</f>
        <v>24.880547945205478</v>
      </c>
      <c r="M27" s="37">
        <v>0</v>
      </c>
      <c r="N27" s="37">
        <f>'[16]Seylan 2Bn new'!$J$11</f>
        <v>41.899178082191781</v>
      </c>
      <c r="O27" s="37">
        <v>0</v>
      </c>
      <c r="P27" s="37">
        <f>'[16]Seylan 2Bn new'!$J$12</f>
        <v>40.90301369863014</v>
      </c>
      <c r="Q27" s="37">
        <v>0</v>
      </c>
      <c r="R27" s="37">
        <f>'[16]Seylan 2Bn new'!$J$13</f>
        <v>38.255342465753422</v>
      </c>
      <c r="S27" s="37">
        <v>0</v>
      </c>
      <c r="T27" s="37">
        <f>'[16]Seylan 2Bn new'!$J$14</f>
        <v>38.028493150684923</v>
      </c>
      <c r="U27" s="37">
        <v>0</v>
      </c>
      <c r="V27" s="37">
        <f>'[16]Seylan 2Bn new'!$J$15</f>
        <v>37.437808219178081</v>
      </c>
      <c r="W27" s="37">
        <v>0</v>
      </c>
      <c r="X27" s="37">
        <f>'[16]Seylan 2Bn new'!$J$16</f>
        <v>37.437808219178081</v>
      </c>
      <c r="Y27" s="37">
        <v>0</v>
      </c>
      <c r="Z27" s="37">
        <f>'[16]Seylan 2Bn new'!$J$17</f>
        <v>37.437808219178081</v>
      </c>
      <c r="AA27" s="37">
        <v>0</v>
      </c>
      <c r="AB27" s="38">
        <f>'[16]Seylan 2Bn new'!$J$17</f>
        <v>37.437808219178081</v>
      </c>
      <c r="AC27" s="36" t="s">
        <v>50</v>
      </c>
      <c r="AD27" s="40">
        <v>2000</v>
      </c>
      <c r="AE27" s="36">
        <v>1791.66</v>
      </c>
      <c r="AF27" s="39">
        <v>24.94</v>
      </c>
      <c r="AG27" s="40">
        <v>22.434000000000001</v>
      </c>
      <c r="AH27" s="36">
        <v>23.289000000000001</v>
      </c>
      <c r="AI27" s="36">
        <v>21.402999999999999</v>
      </c>
      <c r="AJ27" s="36">
        <v>20.63</v>
      </c>
      <c r="AK27" s="41">
        <v>18.43</v>
      </c>
      <c r="AL27" s="42">
        <v>17.605</v>
      </c>
      <c r="AM27" s="41">
        <v>16.722000000000001</v>
      </c>
      <c r="AN27" s="175">
        <v>16.399999999999999</v>
      </c>
      <c r="AO27" s="41">
        <v>16</v>
      </c>
      <c r="AP27" s="41">
        <v>15.7</v>
      </c>
      <c r="AQ27" s="41">
        <v>15.3</v>
      </c>
      <c r="AR27" s="43">
        <f t="shared" si="0"/>
        <v>228.85300000000001</v>
      </c>
      <c r="AS27" s="36"/>
      <c r="AT27" s="36"/>
      <c r="AU27" s="43" t="e">
        <f>#REF!</f>
        <v>#REF!</v>
      </c>
      <c r="AV27" s="108">
        <v>228.84800000000001</v>
      </c>
    </row>
    <row r="28" spans="1:48" x14ac:dyDescent="0.3">
      <c r="A28" s="36"/>
      <c r="B28" s="37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8"/>
      <c r="AD28" s="38"/>
      <c r="AE28" s="38"/>
      <c r="AF28" s="39"/>
      <c r="AG28" s="40"/>
      <c r="AH28" s="38"/>
      <c r="AI28" s="38"/>
      <c r="AJ28" s="38"/>
      <c r="AK28" s="44"/>
      <c r="AL28" s="44"/>
      <c r="AM28" s="42"/>
      <c r="AN28" s="176"/>
      <c r="AO28" s="44"/>
      <c r="AP28" s="44"/>
      <c r="AQ28" s="44"/>
      <c r="AR28" s="43">
        <f t="shared" si="0"/>
        <v>0</v>
      </c>
      <c r="AS28" s="36"/>
      <c r="AT28" s="36"/>
      <c r="AU28" s="36"/>
    </row>
    <row r="29" spans="1:48" x14ac:dyDescent="0.3">
      <c r="A29" s="47" t="s">
        <v>67</v>
      </c>
      <c r="B29" s="37"/>
      <c r="C29" s="3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37"/>
      <c r="AB29" s="37"/>
      <c r="AC29" s="37"/>
      <c r="AD29" s="22">
        <f>SUM(AD7:AD28)</f>
        <v>85037.17</v>
      </c>
      <c r="AE29" s="22">
        <f>SUM(AE7:AE28)</f>
        <v>73162.37000000001</v>
      </c>
      <c r="AF29" s="107">
        <f>SUM(AF7:AF28)</f>
        <v>1075.9123</v>
      </c>
      <c r="AG29" s="107">
        <f t="shared" ref="AG29:AI29" si="1">SUM(AG7:AG28)</f>
        <v>967.52600000000007</v>
      </c>
      <c r="AH29" s="107">
        <f t="shared" si="1"/>
        <v>1012.7150000000001</v>
      </c>
      <c r="AI29" s="107">
        <f t="shared" si="1"/>
        <v>1000.3680000000001</v>
      </c>
      <c r="AJ29" s="107">
        <f t="shared" ref="AJ29:AV29" si="2">SUM(AJ7:AJ28)</f>
        <v>937.17099999999994</v>
      </c>
      <c r="AK29" s="174">
        <f t="shared" si="2"/>
        <v>1372.1319999999998</v>
      </c>
      <c r="AL29" s="174">
        <f t="shared" si="2"/>
        <v>868.56899999999996</v>
      </c>
      <c r="AM29" s="174">
        <f t="shared" si="2"/>
        <v>864.34799999999996</v>
      </c>
      <c r="AN29" s="180">
        <f t="shared" si="2"/>
        <v>675.45368783105039</v>
      </c>
      <c r="AO29" s="174">
        <f t="shared" si="2"/>
        <v>468.26827501369866</v>
      </c>
      <c r="AP29" s="174">
        <f t="shared" si="2"/>
        <v>443.26759878995426</v>
      </c>
      <c r="AQ29" s="174">
        <f t="shared" si="2"/>
        <v>1044.3509956164382</v>
      </c>
      <c r="AR29" s="43">
        <f t="shared" si="0"/>
        <v>10730.081857251142</v>
      </c>
      <c r="AS29" s="48" t="e">
        <f t="shared" si="2"/>
        <v>#REF!</v>
      </c>
      <c r="AT29" s="48" t="e">
        <f t="shared" si="2"/>
        <v>#REF!</v>
      </c>
      <c r="AU29" s="48" t="e">
        <f t="shared" si="2"/>
        <v>#REF!</v>
      </c>
      <c r="AV29" s="48">
        <f t="shared" si="2"/>
        <v>9741.4478572511416</v>
      </c>
    </row>
    <row r="30" spans="1:48" x14ac:dyDescent="0.3">
      <c r="AF30" s="23"/>
      <c r="AG30" s="23"/>
      <c r="AH30" s="23"/>
      <c r="AI30" s="23"/>
      <c r="AJ30" s="23"/>
    </row>
    <row r="32" spans="1:48" x14ac:dyDescent="0.3">
      <c r="A32" s="14" t="s">
        <v>68</v>
      </c>
    </row>
    <row r="33" spans="1:1" x14ac:dyDescent="0.3">
      <c r="A33" s="16" t="s">
        <v>69</v>
      </c>
    </row>
  </sheetData>
  <mergeCells count="36">
    <mergeCell ref="W4:X4"/>
    <mergeCell ref="A3:AB3"/>
    <mergeCell ref="AS3:AU3"/>
    <mergeCell ref="A4:A6"/>
    <mergeCell ref="B4:B6"/>
    <mergeCell ref="C4:C6"/>
    <mergeCell ref="D4:D6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Y4:Z4"/>
    <mergeCell ref="AA4:AB4"/>
    <mergeCell ref="AC4:AC6"/>
    <mergeCell ref="AD4:AD6"/>
    <mergeCell ref="AE4:AE6"/>
    <mergeCell ref="AR4:AR6"/>
    <mergeCell ref="AF5:AF6"/>
    <mergeCell ref="AG5:AG6"/>
    <mergeCell ref="AH5:AH6"/>
    <mergeCell ref="AI5:AI6"/>
    <mergeCell ref="AJ5:AJ6"/>
    <mergeCell ref="AK5:AK6"/>
    <mergeCell ref="AL5:AL6"/>
    <mergeCell ref="AM5:AM6"/>
    <mergeCell ref="AF4:AM4"/>
    <mergeCell ref="AN5:AN6"/>
    <mergeCell ref="AO5:AO6"/>
    <mergeCell ref="AP5:AP6"/>
    <mergeCell ref="AQ5:AQ6"/>
    <mergeCell ref="AN4:A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1D105-D502-43E2-A786-7C46460AED17}">
  <dimension ref="A1:I28"/>
  <sheetViews>
    <sheetView workbookViewId="0">
      <selection activeCell="A17" sqref="A17:I27"/>
    </sheetView>
  </sheetViews>
  <sheetFormatPr defaultColWidth="9.1796875" defaultRowHeight="12.5" x14ac:dyDescent="0.25"/>
  <cols>
    <col min="1" max="1" width="38" style="51" bestFit="1" customWidth="1"/>
    <col min="2" max="5" width="12.81640625" style="51" bestFit="1" customWidth="1"/>
    <col min="6" max="9" width="14" style="51" bestFit="1" customWidth="1"/>
    <col min="10" max="16384" width="9.1796875" style="51"/>
  </cols>
  <sheetData>
    <row r="1" spans="1:8" ht="14" x14ac:dyDescent="0.3">
      <c r="A1" s="50" t="s">
        <v>0</v>
      </c>
    </row>
    <row r="2" spans="1:8" ht="14" x14ac:dyDescent="0.3">
      <c r="A2" s="50" t="s">
        <v>7</v>
      </c>
    </row>
    <row r="4" spans="1:8" ht="13" x14ac:dyDescent="0.3">
      <c r="B4" s="52" t="s">
        <v>85</v>
      </c>
      <c r="C4" s="52" t="s">
        <v>86</v>
      </c>
      <c r="D4" s="52" t="s">
        <v>22</v>
      </c>
      <c r="E4" s="52" t="s">
        <v>23</v>
      </c>
      <c r="F4" s="52" t="s">
        <v>24</v>
      </c>
      <c r="G4" s="52" t="s">
        <v>25</v>
      </c>
      <c r="H4" s="52" t="s">
        <v>1</v>
      </c>
    </row>
    <row r="5" spans="1:8" ht="15.5" x14ac:dyDescent="0.35">
      <c r="A5" s="53" t="s">
        <v>87</v>
      </c>
      <c r="B5" s="54">
        <v>612938.39714999998</v>
      </c>
      <c r="C5" s="54">
        <v>1331259.0851800002</v>
      </c>
      <c r="D5" s="54">
        <v>1359025.9186100001</v>
      </c>
      <c r="E5" s="54">
        <v>2416652.3957399996</v>
      </c>
      <c r="F5" s="54">
        <v>2367936.9749099999</v>
      </c>
      <c r="G5" s="54">
        <v>2594483.1917099999</v>
      </c>
      <c r="H5" s="54">
        <v>1946202.0222799999</v>
      </c>
    </row>
    <row r="6" spans="1:8" ht="15.5" x14ac:dyDescent="0.35">
      <c r="A6" s="53" t="s">
        <v>88</v>
      </c>
      <c r="B6" s="54">
        <v>471805.81748999999</v>
      </c>
      <c r="C6" s="54">
        <v>1424270.1747900001</v>
      </c>
      <c r="D6" s="54">
        <v>3484771.9486100008</v>
      </c>
      <c r="E6" s="54">
        <v>4241115.0642999997</v>
      </c>
      <c r="F6" s="54">
        <v>5000377.6842000009</v>
      </c>
      <c r="G6" s="54">
        <v>6352259.8895500004</v>
      </c>
      <c r="H6" s="54">
        <v>7450704.84234</v>
      </c>
    </row>
    <row r="7" spans="1:8" ht="15.5" x14ac:dyDescent="0.35">
      <c r="A7" s="53" t="s">
        <v>89</v>
      </c>
      <c r="B7" s="54">
        <v>0</v>
      </c>
      <c r="C7" s="54">
        <v>56502.714</v>
      </c>
      <c r="D7" s="54">
        <v>1157799.8046599999</v>
      </c>
      <c r="E7" s="54">
        <v>1157799.8046599999</v>
      </c>
      <c r="F7" s="54">
        <v>1396014.2869899999</v>
      </c>
      <c r="G7" s="54">
        <v>1478803.2699899999</v>
      </c>
      <c r="H7" s="54">
        <v>1727312.40215</v>
      </c>
    </row>
    <row r="8" spans="1:8" ht="15.5" x14ac:dyDescent="0.35">
      <c r="A8" s="53" t="s">
        <v>90</v>
      </c>
      <c r="B8" s="54">
        <v>109139.39238999999</v>
      </c>
      <c r="C8" s="54">
        <v>312061.59750999999</v>
      </c>
      <c r="D8" s="54">
        <v>467894.93083999999</v>
      </c>
      <c r="E8" s="54">
        <v>577193.33100999997</v>
      </c>
      <c r="F8" s="54">
        <v>735468.63913999998</v>
      </c>
      <c r="G8" s="54">
        <v>891483.51092999999</v>
      </c>
      <c r="H8" s="54">
        <v>1047436.38012</v>
      </c>
    </row>
    <row r="9" spans="1:8" ht="15.5" x14ac:dyDescent="0.35">
      <c r="A9" s="53" t="s">
        <v>91</v>
      </c>
      <c r="B9" s="54">
        <v>344.75563999999997</v>
      </c>
      <c r="C9" s="54">
        <v>683.46124000000009</v>
      </c>
      <c r="D9" s="54">
        <v>966.96944999999994</v>
      </c>
      <c r="E9" s="54">
        <v>1229.2180199999998</v>
      </c>
      <c r="F9" s="54">
        <v>1464.08582</v>
      </c>
      <c r="G9" s="54">
        <v>1654.4366199999999</v>
      </c>
      <c r="H9" s="54">
        <v>1816.77214</v>
      </c>
    </row>
    <row r="10" spans="1:8" ht="15.5" x14ac:dyDescent="0.35">
      <c r="A10" s="53" t="s">
        <v>92</v>
      </c>
      <c r="B10" s="54">
        <v>248524.88562000002</v>
      </c>
      <c r="C10" s="54">
        <v>419694.90922999999</v>
      </c>
      <c r="D10" s="54">
        <v>552064.30611999996</v>
      </c>
      <c r="E10" s="54">
        <v>582337.70912999997</v>
      </c>
      <c r="F10" s="54">
        <v>699969.52828999993</v>
      </c>
      <c r="G10" s="54">
        <v>770552.27228999999</v>
      </c>
      <c r="H10" s="54">
        <v>794538.11528999999</v>
      </c>
    </row>
    <row r="11" spans="1:8" ht="15.5" x14ac:dyDescent="0.35">
      <c r="A11" s="53" t="s">
        <v>93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</row>
    <row r="12" spans="1:8" ht="15.5" x14ac:dyDescent="0.35">
      <c r="A12" s="53" t="s">
        <v>94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</row>
    <row r="13" spans="1:8" ht="15.5" x14ac:dyDescent="0.35">
      <c r="A13" s="53" t="s">
        <v>95</v>
      </c>
      <c r="B13" s="54">
        <v>135915.40543000001</v>
      </c>
      <c r="C13" s="54">
        <v>254807.91793999998</v>
      </c>
      <c r="D13" s="54">
        <v>383418.72431000002</v>
      </c>
      <c r="E13" s="54">
        <v>383418.72431000002</v>
      </c>
      <c r="F13" s="54">
        <v>441946.95643000002</v>
      </c>
      <c r="G13" s="54">
        <v>2656440.7295399997</v>
      </c>
      <c r="H13" s="54">
        <v>4973412.4706600001</v>
      </c>
    </row>
    <row r="14" spans="1:8" ht="13" thickBot="1" x14ac:dyDescent="0.3">
      <c r="B14" s="55">
        <f t="shared" ref="B14:H14" si="0">SUM(B5:B13)</f>
        <v>1578668.6537200001</v>
      </c>
      <c r="C14" s="55">
        <f t="shared" si="0"/>
        <v>3799279.8598900004</v>
      </c>
      <c r="D14" s="55">
        <f t="shared" si="0"/>
        <v>7405942.6026000008</v>
      </c>
      <c r="E14" s="55">
        <f t="shared" si="0"/>
        <v>9359746.2471699994</v>
      </c>
      <c r="F14" s="55">
        <f t="shared" si="0"/>
        <v>10643178.155780001</v>
      </c>
      <c r="G14" s="55">
        <f t="shared" si="0"/>
        <v>14745677.300630001</v>
      </c>
      <c r="H14" s="55">
        <f t="shared" si="0"/>
        <v>17941423.004979998</v>
      </c>
    </row>
    <row r="15" spans="1:8" ht="13" thickTop="1" x14ac:dyDescent="0.25"/>
    <row r="16" spans="1:8" ht="13" x14ac:dyDescent="0.3">
      <c r="B16" s="52"/>
      <c r="C16" s="52"/>
      <c r="D16" s="52"/>
      <c r="E16" s="52"/>
      <c r="F16" s="52"/>
      <c r="G16" s="52"/>
      <c r="H16" s="52"/>
    </row>
    <row r="17" spans="1:9" ht="14.5" x14ac:dyDescent="0.35">
      <c r="A17" s="54"/>
      <c r="B17" s="56" t="s">
        <v>85</v>
      </c>
      <c r="C17" s="56" t="s">
        <v>86</v>
      </c>
      <c r="D17" s="56" t="s">
        <v>22</v>
      </c>
      <c r="E17" s="56" t="s">
        <v>23</v>
      </c>
      <c r="F17" s="56" t="s">
        <v>24</v>
      </c>
      <c r="G17" s="56" t="s">
        <v>25</v>
      </c>
      <c r="H17" s="56" t="s">
        <v>1</v>
      </c>
      <c r="I17" s="56" t="s">
        <v>19</v>
      </c>
    </row>
    <row r="18" spans="1:9" ht="14.5" x14ac:dyDescent="0.35">
      <c r="A18" s="54" t="s">
        <v>87</v>
      </c>
      <c r="B18" s="54">
        <v>612938.39714999998</v>
      </c>
      <c r="C18" s="54">
        <f t="shared" ref="C18:H18" si="1">C5-B5</f>
        <v>718320.68803000019</v>
      </c>
      <c r="D18" s="54">
        <f t="shared" si="1"/>
        <v>27766.833429999882</v>
      </c>
      <c r="E18" s="54">
        <f t="shared" si="1"/>
        <v>1057626.4771299995</v>
      </c>
      <c r="F18" s="54">
        <f t="shared" si="1"/>
        <v>-48715.420829999726</v>
      </c>
      <c r="G18" s="54">
        <f t="shared" si="1"/>
        <v>226546.21680000005</v>
      </c>
      <c r="H18" s="54">
        <f t="shared" si="1"/>
        <v>-648281.16943000001</v>
      </c>
      <c r="I18" s="57">
        <f>SUM(B18:H18)</f>
        <v>1946202.0222799999</v>
      </c>
    </row>
    <row r="19" spans="1:9" ht="14.5" x14ac:dyDescent="0.35">
      <c r="A19" s="54" t="s">
        <v>88</v>
      </c>
      <c r="B19" s="54">
        <v>471805.81748999999</v>
      </c>
      <c r="C19" s="54">
        <f t="shared" ref="C19:H26" si="2">C6-B6</f>
        <v>952464.35730000003</v>
      </c>
      <c r="D19" s="54">
        <f t="shared" si="2"/>
        <v>2060501.7738200007</v>
      </c>
      <c r="E19" s="54">
        <f t="shared" si="2"/>
        <v>756343.11568999896</v>
      </c>
      <c r="F19" s="54">
        <f t="shared" si="2"/>
        <v>759262.61990000121</v>
      </c>
      <c r="G19" s="54">
        <f t="shared" si="2"/>
        <v>1351882.2053499995</v>
      </c>
      <c r="H19" s="54">
        <f t="shared" si="2"/>
        <v>1098444.9527899995</v>
      </c>
      <c r="I19" s="57">
        <f t="shared" ref="I19:I26" si="3">SUM(B19:H19)</f>
        <v>7450704.84234</v>
      </c>
    </row>
    <row r="20" spans="1:9" ht="14.5" x14ac:dyDescent="0.35">
      <c r="A20" s="54" t="s">
        <v>89</v>
      </c>
      <c r="B20" s="54">
        <v>0</v>
      </c>
      <c r="C20" s="54">
        <f t="shared" si="2"/>
        <v>56502.714</v>
      </c>
      <c r="D20" s="54">
        <f t="shared" si="2"/>
        <v>1101297.09066</v>
      </c>
      <c r="E20" s="54">
        <f t="shared" si="2"/>
        <v>0</v>
      </c>
      <c r="F20" s="54">
        <f t="shared" si="2"/>
        <v>238214.48233000003</v>
      </c>
      <c r="G20" s="54">
        <f t="shared" si="2"/>
        <v>82788.983000000007</v>
      </c>
      <c r="H20" s="54">
        <f t="shared" si="2"/>
        <v>248509.13216000004</v>
      </c>
      <c r="I20" s="57">
        <f t="shared" si="3"/>
        <v>1727312.40215</v>
      </c>
    </row>
    <row r="21" spans="1:9" ht="14.5" x14ac:dyDescent="0.35">
      <c r="A21" s="54" t="s">
        <v>90</v>
      </c>
      <c r="B21" s="54">
        <v>109139.39238999999</v>
      </c>
      <c r="C21" s="54">
        <f t="shared" si="2"/>
        <v>202922.20512</v>
      </c>
      <c r="D21" s="54">
        <f t="shared" si="2"/>
        <v>155833.33332999999</v>
      </c>
      <c r="E21" s="54">
        <f t="shared" si="2"/>
        <v>109298.40016999998</v>
      </c>
      <c r="F21" s="54">
        <f t="shared" si="2"/>
        <v>158275.30813000002</v>
      </c>
      <c r="G21" s="54">
        <f t="shared" si="2"/>
        <v>156014.87179</v>
      </c>
      <c r="H21" s="54">
        <f t="shared" si="2"/>
        <v>155952.86919</v>
      </c>
      <c r="I21" s="57">
        <f t="shared" si="3"/>
        <v>1047436.38012</v>
      </c>
    </row>
    <row r="22" spans="1:9" ht="14.5" x14ac:dyDescent="0.35">
      <c r="A22" s="54" t="s">
        <v>91</v>
      </c>
      <c r="B22" s="54">
        <v>344.75563999999997</v>
      </c>
      <c r="C22" s="54">
        <f t="shared" si="2"/>
        <v>338.70560000000012</v>
      </c>
      <c r="D22" s="54">
        <f t="shared" si="2"/>
        <v>283.50820999999985</v>
      </c>
      <c r="E22" s="54">
        <f t="shared" si="2"/>
        <v>262.24856999999986</v>
      </c>
      <c r="F22" s="54">
        <f t="shared" si="2"/>
        <v>234.86780000000022</v>
      </c>
      <c r="G22" s="54">
        <f t="shared" si="2"/>
        <v>190.35079999999994</v>
      </c>
      <c r="H22" s="54">
        <f t="shared" si="2"/>
        <v>162.33552000000009</v>
      </c>
      <c r="I22" s="57">
        <f t="shared" si="3"/>
        <v>1816.77214</v>
      </c>
    </row>
    <row r="23" spans="1:9" ht="14.5" x14ac:dyDescent="0.35">
      <c r="A23" s="54" t="s">
        <v>92</v>
      </c>
      <c r="B23" s="54">
        <v>248524.88562000002</v>
      </c>
      <c r="C23" s="54">
        <f t="shared" si="2"/>
        <v>171170.02360999997</v>
      </c>
      <c r="D23" s="54">
        <f t="shared" si="2"/>
        <v>132369.39688999997</v>
      </c>
      <c r="E23" s="54">
        <f t="shared" si="2"/>
        <v>30273.403010000009</v>
      </c>
      <c r="F23" s="54">
        <f t="shared" si="2"/>
        <v>117631.81915999996</v>
      </c>
      <c r="G23" s="54">
        <f t="shared" si="2"/>
        <v>70582.744000000064</v>
      </c>
      <c r="H23" s="54">
        <f t="shared" si="2"/>
        <v>23985.842999999993</v>
      </c>
      <c r="I23" s="57">
        <f t="shared" si="3"/>
        <v>794538.11528999999</v>
      </c>
    </row>
    <row r="24" spans="1:9" ht="14.5" x14ac:dyDescent="0.35">
      <c r="A24" s="54" t="s">
        <v>93</v>
      </c>
      <c r="B24" s="54">
        <v>0</v>
      </c>
      <c r="C24" s="54">
        <f t="shared" si="2"/>
        <v>0</v>
      </c>
      <c r="D24" s="54">
        <f t="shared" si="2"/>
        <v>0</v>
      </c>
      <c r="E24" s="54">
        <f t="shared" si="2"/>
        <v>0</v>
      </c>
      <c r="F24" s="54">
        <f t="shared" si="2"/>
        <v>0</v>
      </c>
      <c r="G24" s="54">
        <f t="shared" si="2"/>
        <v>0</v>
      </c>
      <c r="H24" s="54">
        <f t="shared" si="2"/>
        <v>0</v>
      </c>
      <c r="I24" s="57">
        <f t="shared" si="3"/>
        <v>0</v>
      </c>
    </row>
    <row r="25" spans="1:9" ht="14.5" x14ac:dyDescent="0.35">
      <c r="A25" s="54" t="s">
        <v>94</v>
      </c>
      <c r="B25" s="54">
        <v>0</v>
      </c>
      <c r="C25" s="54">
        <f t="shared" si="2"/>
        <v>0</v>
      </c>
      <c r="D25" s="54">
        <f t="shared" si="2"/>
        <v>0</v>
      </c>
      <c r="E25" s="54">
        <f t="shared" si="2"/>
        <v>0</v>
      </c>
      <c r="F25" s="54">
        <f t="shared" si="2"/>
        <v>0</v>
      </c>
      <c r="G25" s="54">
        <f t="shared" si="2"/>
        <v>0</v>
      </c>
      <c r="H25" s="54">
        <f t="shared" si="2"/>
        <v>0</v>
      </c>
      <c r="I25" s="57">
        <f t="shared" si="3"/>
        <v>0</v>
      </c>
    </row>
    <row r="26" spans="1:9" ht="14.5" x14ac:dyDescent="0.35">
      <c r="A26" s="54" t="s">
        <v>95</v>
      </c>
      <c r="B26" s="54">
        <v>135915.40543000001</v>
      </c>
      <c r="C26" s="54">
        <f t="shared" si="2"/>
        <v>118892.51250999997</v>
      </c>
      <c r="D26" s="54">
        <f t="shared" si="2"/>
        <v>128610.80637000003</v>
      </c>
      <c r="E26" s="54">
        <f t="shared" si="2"/>
        <v>0</v>
      </c>
      <c r="F26" s="54">
        <f t="shared" si="2"/>
        <v>58528.232120000001</v>
      </c>
      <c r="G26" s="54">
        <f t="shared" si="2"/>
        <v>2214493.7731099995</v>
      </c>
      <c r="H26" s="54">
        <f t="shared" si="2"/>
        <v>2316971.7411200004</v>
      </c>
      <c r="I26" s="57">
        <f t="shared" si="3"/>
        <v>4973412.4706600001</v>
      </c>
    </row>
    <row r="27" spans="1:9" ht="15" thickBot="1" x14ac:dyDescent="0.4">
      <c r="A27" s="54"/>
      <c r="B27" s="58">
        <f t="shared" ref="B27:I27" si="4">SUM(B18:B26)</f>
        <v>1578668.6537200001</v>
      </c>
      <c r="C27" s="58">
        <f t="shared" si="4"/>
        <v>2220611.2061699997</v>
      </c>
      <c r="D27" s="58">
        <f t="shared" si="4"/>
        <v>3606662.7427100004</v>
      </c>
      <c r="E27" s="58">
        <f t="shared" si="4"/>
        <v>1953803.6445699986</v>
      </c>
      <c r="F27" s="58">
        <f t="shared" si="4"/>
        <v>1283431.9086100014</v>
      </c>
      <c r="G27" s="58">
        <f t="shared" si="4"/>
        <v>4102499.1448499989</v>
      </c>
      <c r="H27" s="58">
        <f t="shared" si="4"/>
        <v>3195745.7043499998</v>
      </c>
      <c r="I27" s="58">
        <f t="shared" si="4"/>
        <v>17941423.004979998</v>
      </c>
    </row>
    <row r="28" spans="1:9" ht="13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6A01-5F6B-49D0-B3C2-97113D57B707}">
  <dimension ref="A1:CA44"/>
  <sheetViews>
    <sheetView zoomScaleNormal="100" workbookViewId="0">
      <pane xSplit="30" ySplit="5" topLeftCell="BP15" activePane="bottomRight" state="frozen"/>
      <selection pane="topRight" activeCell="AC1" sqref="AC1"/>
      <selection pane="bottomLeft" activeCell="A6" sqref="A6"/>
      <selection pane="bottomRight" activeCell="BW27" sqref="BW27"/>
    </sheetView>
  </sheetViews>
  <sheetFormatPr defaultColWidth="9.1796875" defaultRowHeight="14" x14ac:dyDescent="0.3"/>
  <cols>
    <col min="1" max="1" width="20.7265625" style="16" customWidth="1"/>
    <col min="2" max="2" width="10.7265625" style="15" bestFit="1" customWidth="1"/>
    <col min="3" max="3" width="15.81640625" style="15" customWidth="1"/>
    <col min="4" max="4" width="10.7265625" style="15" customWidth="1"/>
    <col min="5" max="5" width="12.7265625" style="16" customWidth="1"/>
    <col min="6" max="6" width="15.453125" style="15" hidden="1" customWidth="1"/>
    <col min="7" max="7" width="9.26953125" style="15" hidden="1" customWidth="1"/>
    <col min="8" max="8" width="15.453125" style="15" hidden="1" customWidth="1"/>
    <col min="9" max="12" width="9.26953125" style="15" hidden="1" customWidth="1"/>
    <col min="13" max="15" width="9.54296875" style="15" hidden="1" customWidth="1"/>
    <col min="16" max="16" width="9.26953125" style="15" hidden="1" customWidth="1"/>
    <col min="17" max="17" width="9.54296875" style="15" hidden="1" customWidth="1"/>
    <col min="18" max="18" width="11.7265625" style="15" hidden="1" customWidth="1"/>
    <col min="19" max="19" width="9.54296875" style="15" hidden="1" customWidth="1"/>
    <col min="20" max="20" width="9.26953125" style="15" hidden="1" customWidth="1"/>
    <col min="21" max="21" width="9.54296875" style="15" hidden="1" customWidth="1"/>
    <col min="22" max="22" width="10.7265625" style="15" hidden="1" customWidth="1"/>
    <col min="23" max="23" width="9.54296875" style="15" hidden="1" customWidth="1"/>
    <col min="24" max="24" width="9.26953125" style="15" hidden="1" customWidth="1"/>
    <col min="25" max="25" width="9.54296875" style="15" hidden="1" customWidth="1"/>
    <col min="26" max="26" width="9.26953125" style="15" hidden="1" customWidth="1"/>
    <col min="27" max="27" width="9.54296875" style="15" hidden="1" customWidth="1"/>
    <col min="28" max="28" width="9.26953125" style="15" hidden="1" customWidth="1"/>
    <col min="29" max="29" width="9.54296875" style="15" hidden="1" customWidth="1"/>
    <col min="30" max="30" width="9.26953125" style="15" hidden="1" customWidth="1"/>
    <col min="31" max="31" width="15.54296875" style="15" customWidth="1"/>
    <col min="32" max="33" width="15.54296875" style="108" customWidth="1"/>
    <col min="34" max="34" width="15.54296875" style="108" bestFit="1" customWidth="1"/>
    <col min="35" max="35" width="15.54296875" style="108" customWidth="1"/>
    <col min="36" max="36" width="13.54296875" style="108" bestFit="1" customWidth="1"/>
    <col min="37" max="37" width="13.54296875" style="108" customWidth="1"/>
    <col min="38" max="38" width="10.453125" style="108" bestFit="1" customWidth="1"/>
    <col min="39" max="39" width="10.453125" style="108" customWidth="1"/>
    <col min="40" max="40" width="9.7265625" style="108" bestFit="1" customWidth="1"/>
    <col min="41" max="41" width="9.7265625" style="108" customWidth="1"/>
    <col min="42" max="42" width="10.453125" style="108" bestFit="1" customWidth="1"/>
    <col min="43" max="43" width="10.453125" style="108" customWidth="1"/>
    <col min="44" max="45" width="11.1796875" style="108" customWidth="1"/>
    <col min="46" max="46" width="10.453125" style="108" bestFit="1" customWidth="1"/>
    <col min="47" max="47" width="10.453125" style="108" customWidth="1"/>
    <col min="48" max="49" width="11.1796875" style="108" customWidth="1"/>
    <col min="50" max="73" width="11.54296875" style="108" customWidth="1"/>
    <col min="74" max="74" width="16.453125" style="108" customWidth="1"/>
    <col min="75" max="75" width="14.453125" style="108" customWidth="1"/>
    <col min="76" max="76" width="11" style="16" customWidth="1"/>
    <col min="77" max="77" width="14.81640625" style="16" hidden="1" customWidth="1"/>
    <col min="78" max="78" width="14.1796875" style="16" hidden="1" customWidth="1"/>
    <col min="79" max="79" width="15.81640625" style="16" hidden="1" customWidth="1"/>
    <col min="80" max="80" width="12" style="16" bestFit="1" customWidth="1"/>
    <col min="81" max="16384" width="9.1796875" style="16"/>
  </cols>
  <sheetData>
    <row r="1" spans="1:79" x14ac:dyDescent="0.3">
      <c r="A1" s="14" t="s">
        <v>107</v>
      </c>
      <c r="AI1" s="108">
        <f>166.67*9</f>
        <v>1500.03</v>
      </c>
      <c r="CA1" s="14" t="s">
        <v>26</v>
      </c>
    </row>
    <row r="2" spans="1:79" x14ac:dyDescent="0.3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17"/>
      <c r="AF2" s="109"/>
      <c r="AG2" s="109" t="s">
        <v>108</v>
      </c>
      <c r="AH2" s="425" t="s">
        <v>109</v>
      </c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425"/>
      <c r="AT2" s="425"/>
      <c r="AU2" s="425"/>
      <c r="AV2" s="425"/>
      <c r="AW2" s="425"/>
      <c r="AX2" s="425"/>
      <c r="AY2" s="425"/>
      <c r="AZ2" s="425"/>
      <c r="BA2" s="425"/>
      <c r="BB2" s="425"/>
      <c r="BC2" s="425"/>
      <c r="BD2" s="425"/>
      <c r="BE2" s="425"/>
      <c r="BF2" s="425"/>
      <c r="BG2" s="425"/>
      <c r="BH2" s="425"/>
      <c r="BI2" s="425"/>
      <c r="BJ2" s="425"/>
      <c r="BK2" s="425"/>
      <c r="BL2" s="425"/>
      <c r="BM2" s="425"/>
      <c r="BN2" s="425"/>
      <c r="BO2" s="425"/>
      <c r="BP2" s="425"/>
      <c r="BQ2" s="425"/>
      <c r="BR2" s="425"/>
      <c r="BS2" s="425"/>
      <c r="BT2" s="425"/>
      <c r="BU2" s="425"/>
      <c r="BY2" s="382" t="s">
        <v>27</v>
      </c>
      <c r="BZ2" s="382"/>
      <c r="CA2" s="382"/>
    </row>
    <row r="3" spans="1:79" ht="20.25" customHeight="1" x14ac:dyDescent="0.3">
      <c r="A3" s="383" t="s">
        <v>28</v>
      </c>
      <c r="B3" s="384" t="s">
        <v>29</v>
      </c>
      <c r="C3" s="62"/>
      <c r="D3" s="62"/>
      <c r="E3" s="385" t="s">
        <v>30</v>
      </c>
      <c r="F3" s="386" t="s">
        <v>31</v>
      </c>
      <c r="G3" s="380" t="s">
        <v>20</v>
      </c>
      <c r="H3" s="380"/>
      <c r="I3" s="380" t="s">
        <v>21</v>
      </c>
      <c r="J3" s="380"/>
      <c r="K3" s="380" t="s">
        <v>22</v>
      </c>
      <c r="L3" s="380"/>
      <c r="M3" s="380" t="s">
        <v>23</v>
      </c>
      <c r="N3" s="380"/>
      <c r="O3" s="380" t="s">
        <v>24</v>
      </c>
      <c r="P3" s="380"/>
      <c r="Q3" s="380" t="s">
        <v>25</v>
      </c>
      <c r="R3" s="380"/>
      <c r="S3" s="380" t="s">
        <v>1</v>
      </c>
      <c r="T3" s="380"/>
      <c r="U3" s="380" t="s">
        <v>2</v>
      </c>
      <c r="V3" s="380"/>
      <c r="W3" s="380" t="s">
        <v>3</v>
      </c>
      <c r="X3" s="380"/>
      <c r="Y3" s="380" t="s">
        <v>4</v>
      </c>
      <c r="Z3" s="380"/>
      <c r="AA3" s="380" t="s">
        <v>5</v>
      </c>
      <c r="AB3" s="380"/>
      <c r="AC3" s="380" t="s">
        <v>6</v>
      </c>
      <c r="AD3" s="380"/>
      <c r="AE3" s="387" t="s">
        <v>32</v>
      </c>
      <c r="AF3" s="418" t="s">
        <v>33</v>
      </c>
      <c r="AG3" s="418" t="s">
        <v>110</v>
      </c>
      <c r="AH3" s="422" t="s">
        <v>20</v>
      </c>
      <c r="AI3" s="423"/>
      <c r="AJ3" s="423"/>
      <c r="AK3" s="424"/>
      <c r="AL3" s="422" t="s">
        <v>21</v>
      </c>
      <c r="AM3" s="423"/>
      <c r="AN3" s="423"/>
      <c r="AO3" s="424"/>
      <c r="AP3" s="422" t="s">
        <v>22</v>
      </c>
      <c r="AQ3" s="423"/>
      <c r="AR3" s="423"/>
      <c r="AS3" s="424"/>
      <c r="AT3" s="422" t="s">
        <v>23</v>
      </c>
      <c r="AU3" s="423"/>
      <c r="AV3" s="423"/>
      <c r="AW3" s="424"/>
      <c r="AX3" s="422" t="s">
        <v>24</v>
      </c>
      <c r="AY3" s="423"/>
      <c r="AZ3" s="423"/>
      <c r="BA3" s="423"/>
      <c r="BB3" s="421" t="s">
        <v>25</v>
      </c>
      <c r="BC3" s="421"/>
      <c r="BD3" s="421"/>
      <c r="BE3" s="421"/>
      <c r="BF3" s="422" t="s">
        <v>1</v>
      </c>
      <c r="BG3" s="423"/>
      <c r="BH3" s="423"/>
      <c r="BI3" s="424"/>
      <c r="BJ3" s="422" t="s">
        <v>2</v>
      </c>
      <c r="BK3" s="423"/>
      <c r="BL3" s="423"/>
      <c r="BM3" s="424"/>
      <c r="BN3" s="421" t="s">
        <v>3</v>
      </c>
      <c r="BO3" s="421"/>
      <c r="BP3" s="421" t="s">
        <v>4</v>
      </c>
      <c r="BQ3" s="421"/>
      <c r="BR3" s="421" t="s">
        <v>5</v>
      </c>
      <c r="BS3" s="421"/>
      <c r="BT3" s="421" t="s">
        <v>6</v>
      </c>
      <c r="BU3" s="421"/>
      <c r="BV3" s="19" t="s">
        <v>111</v>
      </c>
      <c r="BW3" s="19" t="s">
        <v>112</v>
      </c>
      <c r="BY3" s="20" t="s">
        <v>34</v>
      </c>
      <c r="BZ3" s="20" t="s">
        <v>35</v>
      </c>
      <c r="CA3" s="20" t="s">
        <v>36</v>
      </c>
    </row>
    <row r="4" spans="1:79" x14ac:dyDescent="0.3">
      <c r="A4" s="383"/>
      <c r="B4" s="384"/>
      <c r="C4" s="62"/>
      <c r="D4" s="62"/>
      <c r="E4" s="385"/>
      <c r="F4" s="386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388"/>
      <c r="AF4" s="419"/>
      <c r="AG4" s="419"/>
      <c r="AH4" s="110" t="s">
        <v>10</v>
      </c>
      <c r="AI4" s="110" t="s">
        <v>11</v>
      </c>
      <c r="AJ4" s="110" t="s">
        <v>10</v>
      </c>
      <c r="AK4" s="110" t="s">
        <v>11</v>
      </c>
      <c r="AL4" s="110" t="s">
        <v>10</v>
      </c>
      <c r="AM4" s="110" t="s">
        <v>11</v>
      </c>
      <c r="AN4" s="110" t="s">
        <v>10</v>
      </c>
      <c r="AO4" s="110" t="s">
        <v>11</v>
      </c>
      <c r="AP4" s="110" t="s">
        <v>10</v>
      </c>
      <c r="AQ4" s="110" t="s">
        <v>11</v>
      </c>
      <c r="AR4" s="110" t="s">
        <v>10</v>
      </c>
      <c r="AS4" s="110" t="s">
        <v>11</v>
      </c>
      <c r="AT4" s="110" t="s">
        <v>10</v>
      </c>
      <c r="AU4" s="110" t="s">
        <v>11</v>
      </c>
      <c r="AV4" s="110" t="s">
        <v>10</v>
      </c>
      <c r="AW4" s="110" t="s">
        <v>11</v>
      </c>
      <c r="AX4" s="110" t="s">
        <v>10</v>
      </c>
      <c r="AY4" s="110" t="s">
        <v>11</v>
      </c>
      <c r="AZ4" s="110" t="s">
        <v>10</v>
      </c>
      <c r="BA4" s="110" t="s">
        <v>11</v>
      </c>
      <c r="BB4" s="110" t="s">
        <v>10</v>
      </c>
      <c r="BC4" s="110" t="s">
        <v>11</v>
      </c>
      <c r="BD4" s="110" t="s">
        <v>10</v>
      </c>
      <c r="BE4" s="110" t="s">
        <v>11</v>
      </c>
      <c r="BF4" s="110" t="s">
        <v>10</v>
      </c>
      <c r="BG4" s="110" t="s">
        <v>11</v>
      </c>
      <c r="BH4" s="110" t="s">
        <v>10</v>
      </c>
      <c r="BI4" s="110" t="s">
        <v>11</v>
      </c>
      <c r="BJ4" s="110" t="s">
        <v>10</v>
      </c>
      <c r="BK4" s="110" t="s">
        <v>11</v>
      </c>
      <c r="BL4" s="110" t="s">
        <v>10</v>
      </c>
      <c r="BM4" s="110" t="s">
        <v>11</v>
      </c>
      <c r="BN4" s="110" t="s">
        <v>10</v>
      </c>
      <c r="BO4" s="110" t="s">
        <v>10</v>
      </c>
      <c r="BP4" s="110" t="s">
        <v>10</v>
      </c>
      <c r="BQ4" s="110" t="s">
        <v>10</v>
      </c>
      <c r="BR4" s="110" t="s">
        <v>10</v>
      </c>
      <c r="BS4" s="110" t="s">
        <v>10</v>
      </c>
      <c r="BT4" s="110" t="s">
        <v>10</v>
      </c>
      <c r="BU4" s="110" t="s">
        <v>10</v>
      </c>
      <c r="BV4" s="19"/>
      <c r="BW4" s="19"/>
      <c r="BY4" s="20"/>
      <c r="BZ4" s="20"/>
      <c r="CA4" s="20"/>
    </row>
    <row r="5" spans="1:79" x14ac:dyDescent="0.3">
      <c r="A5" s="383"/>
      <c r="B5" s="384"/>
      <c r="C5" s="62"/>
      <c r="D5" s="62"/>
      <c r="E5" s="385"/>
      <c r="F5" s="386"/>
      <c r="G5" s="21" t="s">
        <v>37</v>
      </c>
      <c r="H5" s="21" t="s">
        <v>38</v>
      </c>
      <c r="I5" s="21" t="s">
        <v>37</v>
      </c>
      <c r="J5" s="21" t="s">
        <v>38</v>
      </c>
      <c r="K5" s="21" t="s">
        <v>37</v>
      </c>
      <c r="L5" s="21" t="s">
        <v>38</v>
      </c>
      <c r="M5" s="21" t="s">
        <v>37</v>
      </c>
      <c r="N5" s="21" t="s">
        <v>38</v>
      </c>
      <c r="O5" s="21" t="s">
        <v>37</v>
      </c>
      <c r="P5" s="21" t="s">
        <v>38</v>
      </c>
      <c r="Q5" s="21" t="s">
        <v>37</v>
      </c>
      <c r="R5" s="21" t="s">
        <v>38</v>
      </c>
      <c r="S5" s="21" t="s">
        <v>37</v>
      </c>
      <c r="T5" s="21" t="s">
        <v>38</v>
      </c>
      <c r="U5" s="21" t="s">
        <v>37</v>
      </c>
      <c r="V5" s="21" t="s">
        <v>38</v>
      </c>
      <c r="W5" s="21" t="s">
        <v>37</v>
      </c>
      <c r="X5" s="21" t="s">
        <v>38</v>
      </c>
      <c r="Y5" s="21" t="s">
        <v>37</v>
      </c>
      <c r="Z5" s="21" t="s">
        <v>38</v>
      </c>
      <c r="AA5" s="21" t="s">
        <v>37</v>
      </c>
      <c r="AB5" s="21" t="s">
        <v>38</v>
      </c>
      <c r="AC5" s="21" t="s">
        <v>37</v>
      </c>
      <c r="AD5" s="21" t="s">
        <v>38</v>
      </c>
      <c r="AE5" s="389"/>
      <c r="AF5" s="420"/>
      <c r="AG5" s="420"/>
      <c r="AH5" s="19" t="s">
        <v>37</v>
      </c>
      <c r="AI5" s="19" t="s">
        <v>37</v>
      </c>
      <c r="AJ5" s="19" t="s">
        <v>38</v>
      </c>
      <c r="AK5" s="19" t="s">
        <v>38</v>
      </c>
      <c r="AL5" s="19" t="s">
        <v>37</v>
      </c>
      <c r="AM5" s="19" t="s">
        <v>37</v>
      </c>
      <c r="AN5" s="19" t="s">
        <v>38</v>
      </c>
      <c r="AO5" s="19" t="s">
        <v>38</v>
      </c>
      <c r="AP5" s="19" t="s">
        <v>37</v>
      </c>
      <c r="AQ5" s="19" t="s">
        <v>37</v>
      </c>
      <c r="AR5" s="19" t="s">
        <v>38</v>
      </c>
      <c r="AS5" s="19" t="s">
        <v>38</v>
      </c>
      <c r="AT5" s="19" t="s">
        <v>37</v>
      </c>
      <c r="AU5" s="19" t="s">
        <v>37</v>
      </c>
      <c r="AV5" s="19" t="s">
        <v>38</v>
      </c>
      <c r="AW5" s="19" t="s">
        <v>38</v>
      </c>
      <c r="AX5" s="19" t="s">
        <v>37</v>
      </c>
      <c r="AY5" s="19" t="s">
        <v>37</v>
      </c>
      <c r="AZ5" s="19" t="s">
        <v>38</v>
      </c>
      <c r="BA5" s="19" t="s">
        <v>38</v>
      </c>
      <c r="BB5" s="19" t="s">
        <v>37</v>
      </c>
      <c r="BC5" s="19" t="s">
        <v>37</v>
      </c>
      <c r="BD5" s="19" t="s">
        <v>38</v>
      </c>
      <c r="BE5" s="19" t="s">
        <v>38</v>
      </c>
      <c r="BF5" s="19" t="s">
        <v>37</v>
      </c>
      <c r="BG5" s="19" t="s">
        <v>37</v>
      </c>
      <c r="BH5" s="19" t="s">
        <v>38</v>
      </c>
      <c r="BI5" s="19" t="s">
        <v>38</v>
      </c>
      <c r="BJ5" s="19" t="s">
        <v>37</v>
      </c>
      <c r="BK5" s="19" t="s">
        <v>37</v>
      </c>
      <c r="BL5" s="19" t="s">
        <v>38</v>
      </c>
      <c r="BM5" s="19" t="s">
        <v>38</v>
      </c>
      <c r="BN5" s="19" t="s">
        <v>37</v>
      </c>
      <c r="BO5" s="19" t="s">
        <v>38</v>
      </c>
      <c r="BP5" s="19" t="s">
        <v>37</v>
      </c>
      <c r="BQ5" s="19" t="s">
        <v>38</v>
      </c>
      <c r="BR5" s="19" t="s">
        <v>37</v>
      </c>
      <c r="BS5" s="19" t="s">
        <v>38</v>
      </c>
      <c r="BT5" s="19" t="s">
        <v>37</v>
      </c>
      <c r="BU5" s="19" t="s">
        <v>38</v>
      </c>
      <c r="BV5" s="19" t="s">
        <v>37</v>
      </c>
      <c r="BW5" s="19" t="s">
        <v>38</v>
      </c>
      <c r="BY5" s="19" t="s">
        <v>38</v>
      </c>
      <c r="BZ5" s="19" t="s">
        <v>38</v>
      </c>
      <c r="CA5" s="19" t="s">
        <v>38</v>
      </c>
    </row>
    <row r="6" spans="1:79" x14ac:dyDescent="0.3">
      <c r="A6" s="111" t="s">
        <v>39</v>
      </c>
      <c r="B6" s="112">
        <v>10000</v>
      </c>
      <c r="C6" s="36" t="s">
        <v>39</v>
      </c>
      <c r="D6" s="37">
        <v>10000</v>
      </c>
      <c r="E6" s="111" t="s">
        <v>40</v>
      </c>
      <c r="F6" s="112">
        <v>1880</v>
      </c>
      <c r="G6" s="112"/>
      <c r="H6" s="112">
        <v>0</v>
      </c>
      <c r="I6" s="112"/>
      <c r="J6" s="112">
        <v>47</v>
      </c>
      <c r="K6" s="112"/>
      <c r="L6" s="112">
        <v>95</v>
      </c>
      <c r="M6" s="112"/>
      <c r="N6" s="112">
        <v>43</v>
      </c>
      <c r="O6" s="112"/>
      <c r="P6" s="112">
        <v>75</v>
      </c>
      <c r="Q6" s="112"/>
      <c r="R6" s="112">
        <v>36</v>
      </c>
      <c r="S6" s="112"/>
      <c r="T6" s="112">
        <v>35</v>
      </c>
      <c r="U6" s="112"/>
      <c r="V6" s="112"/>
      <c r="W6" s="112"/>
      <c r="X6" s="112"/>
      <c r="Y6" s="112"/>
      <c r="Z6" s="112"/>
      <c r="AA6" s="112"/>
      <c r="AB6" s="112"/>
      <c r="AC6" s="112">
        <v>140</v>
      </c>
      <c r="AD6" s="113"/>
      <c r="AE6" s="111" t="s">
        <v>41</v>
      </c>
      <c r="AF6" s="114">
        <v>1740</v>
      </c>
      <c r="AG6" s="114">
        <v>620</v>
      </c>
      <c r="AH6" s="114">
        <v>140</v>
      </c>
      <c r="AI6" s="114">
        <v>140</v>
      </c>
      <c r="AJ6" s="114">
        <v>18.850000000000001</v>
      </c>
      <c r="AK6" s="115">
        <v>24.024999999999999</v>
      </c>
      <c r="AL6" s="114">
        <v>140</v>
      </c>
      <c r="AM6" s="114">
        <v>140</v>
      </c>
      <c r="AN6" s="114">
        <v>17.333333333333332</v>
      </c>
      <c r="AO6" s="114">
        <v>7</v>
      </c>
      <c r="AP6" s="114">
        <v>140</v>
      </c>
      <c r="AQ6" s="114">
        <v>140</v>
      </c>
      <c r="AR6" s="114">
        <v>15.816666666666668</v>
      </c>
      <c r="AS6" s="115">
        <f>19.223+22.21</f>
        <v>41.433</v>
      </c>
      <c r="AT6" s="114">
        <v>140</v>
      </c>
      <c r="AU6" s="114">
        <v>140</v>
      </c>
      <c r="AV6" s="114">
        <v>13.42</v>
      </c>
      <c r="AW6" s="114">
        <v>18.466999999999999</v>
      </c>
      <c r="AX6" s="114">
        <v>140</v>
      </c>
      <c r="AY6" s="114">
        <v>140</v>
      </c>
      <c r="AZ6" s="114">
        <v>11.996666666666668</v>
      </c>
      <c r="BA6" s="115">
        <v>15.884</v>
      </c>
      <c r="BB6" s="114">
        <v>140</v>
      </c>
      <c r="BC6" s="114">
        <v>140</v>
      </c>
      <c r="BD6" s="114">
        <v>9.2299999999999986</v>
      </c>
      <c r="BE6" s="114">
        <v>14.79</v>
      </c>
      <c r="BF6" s="114">
        <v>140</v>
      </c>
      <c r="BG6" s="114">
        <v>140</v>
      </c>
      <c r="BH6" s="114">
        <v>7.9874999999999998</v>
      </c>
      <c r="BI6" s="114">
        <v>12.02</v>
      </c>
      <c r="BJ6" s="114">
        <v>140</v>
      </c>
      <c r="BK6" s="114">
        <v>140</v>
      </c>
      <c r="BL6" s="114">
        <v>6.7450000000000001</v>
      </c>
      <c r="BM6" s="114">
        <v>10.5</v>
      </c>
      <c r="BN6" s="114">
        <v>140</v>
      </c>
      <c r="BO6" s="114">
        <f>AG6*10.1%/12</f>
        <v>5.2183333333333328</v>
      </c>
      <c r="BP6" s="114">
        <v>140</v>
      </c>
      <c r="BQ6" s="114">
        <f>(AG6-BN6)*10.1%/365*31</f>
        <v>4.1174794520547939</v>
      </c>
      <c r="BR6" s="114">
        <v>140</v>
      </c>
      <c r="BS6" s="114">
        <f>(AG6-(BR6*2))*10.1%/360*30</f>
        <v>2.8616666666666664</v>
      </c>
      <c r="BT6" s="114">
        <v>140</v>
      </c>
      <c r="BU6" s="114">
        <f>(AG6-(BR6*3))*0.101/365*31</f>
        <v>1.7156164383561645</v>
      </c>
      <c r="BV6" s="116">
        <f>AH6+AL6+AP6+AT6+AX6+BB6+BF6+BJ6+BN6+BP6+BR6+BT6</f>
        <v>1680</v>
      </c>
      <c r="BW6" s="116">
        <f t="shared" ref="BW6:BW17" si="0">AJ6+AN6+AR6+AV6+AZ6+BD6+BH6+BL6+BO6+BQ6+BS6+BU6</f>
        <v>115.29226255707763</v>
      </c>
      <c r="BX6" s="116">
        <f>AK6+AO6+AS6+AW6+BA6+BE6+BI6+BM6+BO6+BQ6+BS6+BU6</f>
        <v>158.03209589041097</v>
      </c>
      <c r="BY6" s="43">
        <f>BW6</f>
        <v>115.29226255707763</v>
      </c>
      <c r="BZ6" s="36">
        <v>0</v>
      </c>
      <c r="CA6" s="36">
        <v>0</v>
      </c>
    </row>
    <row r="7" spans="1:79" x14ac:dyDescent="0.3">
      <c r="A7" s="117" t="s">
        <v>39</v>
      </c>
      <c r="B7" s="118">
        <v>6200</v>
      </c>
      <c r="C7" s="36" t="s">
        <v>39</v>
      </c>
      <c r="D7" s="37">
        <v>6200</v>
      </c>
      <c r="E7" s="117" t="s">
        <v>42</v>
      </c>
      <c r="F7" s="118">
        <v>1328</v>
      </c>
      <c r="G7" s="118"/>
      <c r="H7" s="118"/>
      <c r="I7" s="118"/>
      <c r="J7" s="118">
        <v>33</v>
      </c>
      <c r="K7" s="118"/>
      <c r="L7" s="118">
        <v>67</v>
      </c>
      <c r="M7" s="118"/>
      <c r="N7" s="118">
        <v>30</v>
      </c>
      <c r="O7" s="118"/>
      <c r="P7" s="118">
        <v>55</v>
      </c>
      <c r="Q7" s="118"/>
      <c r="R7" s="118">
        <v>26</v>
      </c>
      <c r="S7" s="118"/>
      <c r="T7" s="118">
        <v>24</v>
      </c>
      <c r="U7" s="118"/>
      <c r="V7" s="118"/>
      <c r="W7" s="118"/>
      <c r="X7" s="118"/>
      <c r="Y7" s="118"/>
      <c r="Z7" s="118"/>
      <c r="AA7" s="118"/>
      <c r="AB7" s="118"/>
      <c r="AC7" s="118">
        <v>87</v>
      </c>
      <c r="AD7" s="119"/>
      <c r="AE7" s="117" t="s">
        <v>41</v>
      </c>
      <c r="AF7" s="120">
        <v>1241</v>
      </c>
      <c r="AG7" s="120">
        <v>545</v>
      </c>
      <c r="AH7" s="120">
        <v>87</v>
      </c>
      <c r="AI7" s="120">
        <v>87</v>
      </c>
      <c r="AJ7" s="120">
        <v>13.444166666666668</v>
      </c>
      <c r="AK7" s="121">
        <v>16.73</v>
      </c>
      <c r="AL7" s="120">
        <v>87</v>
      </c>
      <c r="AM7" s="120">
        <v>87</v>
      </c>
      <c r="AN7" s="120">
        <v>12.501666666666667</v>
      </c>
      <c r="AO7" s="120">
        <v>16.437999999999999</v>
      </c>
      <c r="AP7" s="120">
        <v>87</v>
      </c>
      <c r="AQ7" s="120">
        <v>87</v>
      </c>
      <c r="AR7" s="120">
        <v>11.559166666666668</v>
      </c>
      <c r="AS7" s="121">
        <v>13.814</v>
      </c>
      <c r="AT7" s="120">
        <v>87</v>
      </c>
      <c r="AU7" s="120">
        <v>87</v>
      </c>
      <c r="AV7" s="120">
        <v>9.9633333333333329</v>
      </c>
      <c r="AW7" s="120">
        <v>13.525</v>
      </c>
      <c r="AX7" s="120">
        <v>87</v>
      </c>
      <c r="AY7" s="120">
        <v>87</v>
      </c>
      <c r="AZ7" s="120">
        <v>9.0788333333333338</v>
      </c>
      <c r="BA7" s="121">
        <v>12.081</v>
      </c>
      <c r="BB7" s="120">
        <v>87</v>
      </c>
      <c r="BC7" s="120">
        <v>87</v>
      </c>
      <c r="BD7" s="120">
        <v>7.1532499999999999</v>
      </c>
      <c r="BE7" s="120">
        <v>11.2</v>
      </c>
      <c r="BF7" s="120">
        <v>87</v>
      </c>
      <c r="BG7" s="120">
        <v>87</v>
      </c>
      <c r="BH7" s="120">
        <v>6.3811249999999999</v>
      </c>
      <c r="BI7" s="120">
        <v>9.7189999999999994</v>
      </c>
      <c r="BJ7" s="120">
        <v>87</v>
      </c>
      <c r="BK7" s="120">
        <v>87</v>
      </c>
      <c r="BL7" s="120">
        <v>5.6089999999999991</v>
      </c>
      <c r="BM7" s="120">
        <v>8.76</v>
      </c>
      <c r="BN7" s="120">
        <v>87</v>
      </c>
      <c r="BO7" s="120">
        <f>AG7*10.1%/12</f>
        <v>4.5870833333333332</v>
      </c>
      <c r="BP7" s="120">
        <v>87</v>
      </c>
      <c r="BQ7" s="120">
        <f>(AG7-BN7)*10.1%/365*31</f>
        <v>3.9287616438356165</v>
      </c>
      <c r="BR7" s="120">
        <v>87</v>
      </c>
      <c r="BS7" s="120">
        <f>(AG7-(BR7*2))*10.1%/365*30</f>
        <v>3.0798082191780818</v>
      </c>
      <c r="BT7" s="120">
        <v>87</v>
      </c>
      <c r="BU7" s="120">
        <f>(AG7-(BR7*3))*0.101/365*31</f>
        <v>2.4361753424657535</v>
      </c>
      <c r="BV7" s="122">
        <f t="shared" ref="BV7:BV17" si="1">AH7+AL7+AP7+AT7+AX7+BB7+BF7+BJ7+BN7+BP7+BR7+BT7</f>
        <v>1044</v>
      </c>
      <c r="BW7" s="122">
        <f t="shared" si="0"/>
        <v>89.72237020547945</v>
      </c>
      <c r="BX7" s="116">
        <f t="shared" ref="BX7:BX26" si="2">AK7+AO7+AS7+AW7+BA7+BE7+BI7+BM7+BO7+BQ7+BS7+BU7</f>
        <v>116.29882853881278</v>
      </c>
      <c r="BY7" s="36">
        <v>0</v>
      </c>
      <c r="BZ7" s="36">
        <v>0</v>
      </c>
      <c r="CA7" s="43">
        <f>BW7</f>
        <v>89.72237020547945</v>
      </c>
    </row>
    <row r="8" spans="1:79" x14ac:dyDescent="0.3">
      <c r="A8" s="123" t="s">
        <v>39</v>
      </c>
      <c r="B8" s="124">
        <v>35000</v>
      </c>
      <c r="C8" s="36" t="s">
        <v>39</v>
      </c>
      <c r="D8" s="37">
        <v>35000</v>
      </c>
      <c r="E8" s="123" t="s">
        <v>43</v>
      </c>
      <c r="F8" s="124">
        <v>28200</v>
      </c>
      <c r="G8" s="124">
        <v>400</v>
      </c>
      <c r="H8" s="124">
        <v>678</v>
      </c>
      <c r="I8" s="124"/>
      <c r="J8" s="124">
        <v>693</v>
      </c>
      <c r="K8" s="124"/>
      <c r="L8" s="124">
        <v>714</v>
      </c>
      <c r="M8" s="124"/>
      <c r="N8" s="124">
        <v>1360</v>
      </c>
      <c r="O8" s="124"/>
      <c r="P8" s="124">
        <v>538</v>
      </c>
      <c r="Q8" s="124"/>
      <c r="R8" s="124">
        <v>549</v>
      </c>
      <c r="S8" s="124"/>
      <c r="T8" s="124">
        <v>502</v>
      </c>
      <c r="U8" s="124"/>
      <c r="V8" s="124"/>
      <c r="W8" s="124"/>
      <c r="X8" s="124"/>
      <c r="Y8" s="124"/>
      <c r="Z8" s="124"/>
      <c r="AA8" s="124"/>
      <c r="AB8" s="124"/>
      <c r="AC8" s="124">
        <v>400</v>
      </c>
      <c r="AD8" s="125"/>
      <c r="AE8" s="123" t="s">
        <v>44</v>
      </c>
      <c r="AF8" s="126">
        <v>27800</v>
      </c>
      <c r="AG8" s="126">
        <v>24600</v>
      </c>
      <c r="AH8" s="126">
        <v>400</v>
      </c>
      <c r="AI8" s="126">
        <v>400</v>
      </c>
      <c r="AJ8" s="126">
        <v>312.75000000000006</v>
      </c>
      <c r="AK8" s="127"/>
      <c r="AL8" s="126">
        <v>400</v>
      </c>
      <c r="AM8" s="126">
        <v>400</v>
      </c>
      <c r="AN8" s="126">
        <v>308.25000000000006</v>
      </c>
      <c r="AO8" s="126">
        <f>313.594+64.881</f>
        <v>378.47500000000002</v>
      </c>
      <c r="AP8" s="126">
        <v>400</v>
      </c>
      <c r="AQ8" s="126">
        <v>400</v>
      </c>
      <c r="AR8" s="126">
        <v>303.75000000000006</v>
      </c>
      <c r="AS8" s="127">
        <v>348.952</v>
      </c>
      <c r="AT8" s="126">
        <v>400</v>
      </c>
      <c r="AU8" s="126">
        <v>400</v>
      </c>
      <c r="AV8" s="126">
        <v>281.51666666666671</v>
      </c>
      <c r="AW8" s="126">
        <v>367.29399999999998</v>
      </c>
      <c r="AX8" s="126">
        <v>400</v>
      </c>
      <c r="AY8" s="126">
        <v>400</v>
      </c>
      <c r="AZ8" s="126">
        <v>277.28333333333336</v>
      </c>
      <c r="BA8" s="127">
        <v>350.82100000000003</v>
      </c>
      <c r="BB8" s="126">
        <v>500</v>
      </c>
      <c r="BC8" s="126">
        <v>400</v>
      </c>
      <c r="BD8" s="126">
        <v>238.79583333333335</v>
      </c>
      <c r="BE8" s="126">
        <v>356.61</v>
      </c>
      <c r="BF8" s="126">
        <v>500</v>
      </c>
      <c r="BG8" s="126">
        <v>400</v>
      </c>
      <c r="BH8" s="126">
        <v>234.15</v>
      </c>
      <c r="BI8" s="126">
        <v>340.315</v>
      </c>
      <c r="BJ8" s="126">
        <v>500</v>
      </c>
      <c r="BK8" s="126">
        <v>400</v>
      </c>
      <c r="BL8" s="126">
        <v>229.50416666666669</v>
      </c>
      <c r="BM8" s="126">
        <v>345.56</v>
      </c>
      <c r="BN8" s="126">
        <v>500</v>
      </c>
      <c r="BO8" s="126">
        <f>AG8*10.6%/12</f>
        <v>217.29999999999998</v>
      </c>
      <c r="BP8" s="126">
        <v>500</v>
      </c>
      <c r="BQ8" s="126">
        <f>(AG8-BN8)*10.6%/365*31</f>
        <v>216.96602739726026</v>
      </c>
      <c r="BR8" s="126">
        <v>500</v>
      </c>
      <c r="BS8" s="126">
        <f>(AG8-(BR8*2))*10.6%/365*30</f>
        <v>205.61095890410957</v>
      </c>
      <c r="BT8" s="126">
        <v>500</v>
      </c>
      <c r="BU8" s="126">
        <f>(AG8-(BR8*3))*0.106/365*31</f>
        <v>207.96328767123285</v>
      </c>
      <c r="BV8" s="128">
        <f t="shared" si="1"/>
        <v>5500</v>
      </c>
      <c r="BW8" s="128">
        <f t="shared" si="0"/>
        <v>3033.8402739726034</v>
      </c>
      <c r="BX8" s="116">
        <f t="shared" si="2"/>
        <v>3335.8672739726035</v>
      </c>
      <c r="BY8" s="43">
        <f>BW8/35*29</f>
        <v>2513.7533698630141</v>
      </c>
      <c r="BZ8" s="43">
        <f>BW8/35*6</f>
        <v>520.08690410958911</v>
      </c>
      <c r="CA8" s="36">
        <v>0</v>
      </c>
    </row>
    <row r="9" spans="1:79" x14ac:dyDescent="0.3">
      <c r="A9" s="111" t="s">
        <v>39</v>
      </c>
      <c r="B9" s="112">
        <v>10000</v>
      </c>
      <c r="C9" s="36" t="s">
        <v>39</v>
      </c>
      <c r="D9" s="37">
        <v>10000</v>
      </c>
      <c r="E9" s="111" t="s">
        <v>45</v>
      </c>
      <c r="F9" s="112">
        <v>9133.33</v>
      </c>
      <c r="G9" s="112"/>
      <c r="H9" s="112">
        <v>221</v>
      </c>
      <c r="I9" s="112"/>
      <c r="J9" s="112">
        <v>0</v>
      </c>
      <c r="K9" s="112"/>
      <c r="L9" s="112">
        <v>446</v>
      </c>
      <c r="M9" s="112"/>
      <c r="N9" s="112">
        <v>235</v>
      </c>
      <c r="O9" s="112"/>
      <c r="P9" s="112">
        <v>175</v>
      </c>
      <c r="Q9" s="112"/>
      <c r="R9" s="112">
        <v>180</v>
      </c>
      <c r="S9" s="112"/>
      <c r="T9" s="112">
        <v>175</v>
      </c>
      <c r="U9" s="112"/>
      <c r="V9" s="112"/>
      <c r="W9" s="112"/>
      <c r="X9" s="112"/>
      <c r="Y9" s="112"/>
      <c r="Z9" s="112"/>
      <c r="AA9" s="112"/>
      <c r="AB9" s="112"/>
      <c r="AC9" s="112">
        <v>150</v>
      </c>
      <c r="AD9" s="113"/>
      <c r="AE9" s="111" t="s">
        <v>44</v>
      </c>
      <c r="AF9" s="114">
        <v>9058</v>
      </c>
      <c r="AG9" s="114">
        <v>7758.33</v>
      </c>
      <c r="AH9" s="114">
        <v>150</v>
      </c>
      <c r="AI9" s="114">
        <v>75</v>
      </c>
      <c r="AJ9" s="114">
        <v>101.0624625</v>
      </c>
      <c r="AK9" s="115">
        <v>126.40900000000001</v>
      </c>
      <c r="AL9" s="114">
        <v>150</v>
      </c>
      <c r="AM9" s="114">
        <v>75</v>
      </c>
      <c r="AN9" s="114">
        <v>99.374962499999995</v>
      </c>
      <c r="AO9" s="115">
        <v>104.104</v>
      </c>
      <c r="AP9" s="114">
        <v>150</v>
      </c>
      <c r="AQ9" s="114">
        <v>75</v>
      </c>
      <c r="AR9" s="114">
        <v>97.687462499999995</v>
      </c>
      <c r="AS9" s="115">
        <v>133.69399999999999</v>
      </c>
      <c r="AT9" s="114">
        <v>150</v>
      </c>
      <c r="AU9" s="114">
        <v>75</v>
      </c>
      <c r="AV9" s="114">
        <v>90.311075833333334</v>
      </c>
      <c r="AW9" s="114">
        <v>121.91200000000001</v>
      </c>
      <c r="AX9" s="114">
        <v>150</v>
      </c>
      <c r="AY9" s="114">
        <v>75</v>
      </c>
      <c r="AZ9" s="114">
        <v>88.723575833333328</v>
      </c>
      <c r="BA9" s="115">
        <v>117.11</v>
      </c>
      <c r="BB9" s="114">
        <v>150</v>
      </c>
      <c r="BC9" s="114">
        <v>250</v>
      </c>
      <c r="BD9" s="114">
        <v>76.501357916666663</v>
      </c>
      <c r="BE9" s="114">
        <v>117.65</v>
      </c>
      <c r="BF9" s="114">
        <v>150</v>
      </c>
      <c r="BG9" s="114">
        <v>250</v>
      </c>
      <c r="BH9" s="114">
        <v>75.107607916666666</v>
      </c>
      <c r="BI9" s="114">
        <v>110.52200000000001</v>
      </c>
      <c r="BJ9" s="114">
        <v>150</v>
      </c>
      <c r="BK9" s="114">
        <v>250</v>
      </c>
      <c r="BL9" s="114">
        <v>73.713857916666669</v>
      </c>
      <c r="BM9" s="114">
        <v>111</v>
      </c>
      <c r="BN9" s="114">
        <v>150</v>
      </c>
      <c r="BO9" s="114">
        <f>AG9*10.6%/12</f>
        <v>68.531914999999998</v>
      </c>
      <c r="BP9" s="114">
        <v>150</v>
      </c>
      <c r="BQ9" s="114">
        <f>(AG9-BN9)*10.6%/365*31</f>
        <v>68.495814739726029</v>
      </c>
      <c r="BR9" s="114">
        <v>150</v>
      </c>
      <c r="BS9" s="114">
        <f>(AG9-(BR9*2))*10.6%/360*30</f>
        <v>65.881915000000006</v>
      </c>
      <c r="BT9" s="114">
        <v>250</v>
      </c>
      <c r="BU9" s="114">
        <f>(AG9-(BR9*3))*0.106/365*30</f>
        <v>63.672573698630131</v>
      </c>
      <c r="BV9" s="116">
        <f t="shared" si="1"/>
        <v>1900</v>
      </c>
      <c r="BW9" s="116">
        <f t="shared" si="0"/>
        <v>969.06458135502294</v>
      </c>
      <c r="BX9" s="116">
        <f t="shared" si="2"/>
        <v>1208.9832184383563</v>
      </c>
      <c r="BY9" s="43">
        <f>BW9</f>
        <v>969.06458135502294</v>
      </c>
      <c r="BZ9" s="36"/>
      <c r="CA9" s="36"/>
    </row>
    <row r="10" spans="1:79" x14ac:dyDescent="0.3">
      <c r="A10" s="111" t="s">
        <v>39</v>
      </c>
      <c r="B10" s="112">
        <v>17000</v>
      </c>
      <c r="C10" s="36" t="s">
        <v>39</v>
      </c>
      <c r="D10" s="37">
        <v>17000</v>
      </c>
      <c r="E10" s="111" t="s">
        <v>46</v>
      </c>
      <c r="F10" s="112">
        <v>17000</v>
      </c>
      <c r="G10" s="112"/>
      <c r="H10" s="112">
        <v>419</v>
      </c>
      <c r="I10" s="112"/>
      <c r="J10" s="112">
        <v>443</v>
      </c>
      <c r="K10" s="112"/>
      <c r="L10" s="112">
        <v>138</v>
      </c>
      <c r="M10" s="112"/>
      <c r="N10" s="112">
        <v>699</v>
      </c>
      <c r="O10" s="112"/>
      <c r="P10" s="112">
        <v>333</v>
      </c>
      <c r="Q10" s="112"/>
      <c r="R10" s="112">
        <v>343</v>
      </c>
      <c r="S10" s="112"/>
      <c r="T10" s="112">
        <v>330</v>
      </c>
      <c r="U10" s="112"/>
      <c r="V10" s="112"/>
      <c r="W10" s="112"/>
      <c r="X10" s="112"/>
      <c r="Y10" s="112"/>
      <c r="Z10" s="112"/>
      <c r="AA10" s="112"/>
      <c r="AB10" s="112"/>
      <c r="AC10" s="112">
        <v>1062.5</v>
      </c>
      <c r="AD10" s="113"/>
      <c r="AE10" s="111" t="s">
        <v>47</v>
      </c>
      <c r="AF10" s="114">
        <v>15937.5</v>
      </c>
      <c r="AG10" s="114">
        <v>13812.5</v>
      </c>
      <c r="AH10" s="114">
        <v>1062.5</v>
      </c>
      <c r="AI10" s="114">
        <v>0</v>
      </c>
      <c r="AJ10" s="114">
        <v>179.296875</v>
      </c>
      <c r="AK10" s="115"/>
      <c r="AL10" s="114">
        <v>1062.5</v>
      </c>
      <c r="AM10" s="114">
        <v>1062.5</v>
      </c>
      <c r="AN10" s="114">
        <v>167.34375000000003</v>
      </c>
      <c r="AO10" s="114">
        <v>220.614</v>
      </c>
      <c r="AP10" s="114">
        <v>1062.5</v>
      </c>
      <c r="AQ10" s="114">
        <v>0</v>
      </c>
      <c r="AR10" s="114">
        <v>155.39062500000003</v>
      </c>
      <c r="AS10" s="115">
        <v>205.768</v>
      </c>
      <c r="AT10" s="114">
        <v>1062.5</v>
      </c>
      <c r="AU10" s="114">
        <v>0</v>
      </c>
      <c r="AV10" s="114">
        <v>15.9375</v>
      </c>
      <c r="AW10" s="114">
        <v>207.18700000000001</v>
      </c>
      <c r="AX10" s="114">
        <v>1062.5</v>
      </c>
      <c r="AY10" s="114">
        <v>0</v>
      </c>
      <c r="AZ10" s="114">
        <v>123.69270833333333</v>
      </c>
      <c r="BA10" s="115"/>
      <c r="BB10" s="114">
        <v>1062.5</v>
      </c>
      <c r="BC10" s="114">
        <v>1062.5</v>
      </c>
      <c r="BD10" s="114">
        <v>98.723958333333329</v>
      </c>
      <c r="BE10" s="114">
        <v>205.3</v>
      </c>
      <c r="BF10" s="114">
        <v>1062.5</v>
      </c>
      <c r="BG10" s="114">
        <v>0</v>
      </c>
      <c r="BH10" s="114">
        <v>88.8515625</v>
      </c>
      <c r="BI10" s="114">
        <v>186.374</v>
      </c>
      <c r="BJ10" s="114">
        <v>1062.5</v>
      </c>
      <c r="BK10" s="114">
        <v>0</v>
      </c>
      <c r="BL10" s="114">
        <v>78.979166666666671</v>
      </c>
      <c r="BM10" s="114">
        <v>0</v>
      </c>
      <c r="BN10" s="114">
        <v>1062.5</v>
      </c>
      <c r="BO10" s="114">
        <v>191</v>
      </c>
      <c r="BP10" s="114"/>
      <c r="BQ10" s="114"/>
      <c r="BR10" s="114"/>
      <c r="BS10" s="114"/>
      <c r="BT10" s="114">
        <v>1062.5</v>
      </c>
      <c r="BU10" s="114">
        <f>(AG10-AH10)*10.6%/365*91</f>
        <v>336.94931506849315</v>
      </c>
      <c r="BV10" s="116">
        <f t="shared" si="1"/>
        <v>10625</v>
      </c>
      <c r="BW10" s="116">
        <f t="shared" si="0"/>
        <v>1436.1654609018267</v>
      </c>
      <c r="BX10" s="116">
        <f t="shared" si="2"/>
        <v>1553.1923150684931</v>
      </c>
      <c r="BY10" s="43">
        <f>BW10</f>
        <v>1436.1654609018267</v>
      </c>
      <c r="BZ10" s="36"/>
      <c r="CA10" s="36"/>
    </row>
    <row r="11" spans="1:79" x14ac:dyDescent="0.3">
      <c r="A11" s="36"/>
      <c r="B11" s="129"/>
      <c r="C11" s="129"/>
      <c r="D11" s="129"/>
      <c r="E11" s="36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30"/>
      <c r="AE11" s="130"/>
      <c r="AF11" s="131"/>
      <c r="AG11" s="131"/>
      <c r="AH11" s="132"/>
      <c r="AI11" s="132"/>
      <c r="AJ11" s="132"/>
      <c r="AK11" s="133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3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22">
        <f t="shared" si="1"/>
        <v>0</v>
      </c>
      <c r="BW11" s="22">
        <f t="shared" si="0"/>
        <v>0</v>
      </c>
      <c r="BX11" s="116">
        <f t="shared" si="2"/>
        <v>0</v>
      </c>
      <c r="BY11" s="36"/>
      <c r="BZ11" s="36"/>
      <c r="CA11" s="36"/>
    </row>
    <row r="12" spans="1:79" x14ac:dyDescent="0.3">
      <c r="A12" s="123" t="s">
        <v>48</v>
      </c>
      <c r="B12" s="124">
        <v>10000</v>
      </c>
      <c r="C12" s="36" t="s">
        <v>48</v>
      </c>
      <c r="D12" s="37">
        <v>10000</v>
      </c>
      <c r="E12" s="123" t="s">
        <v>49</v>
      </c>
      <c r="F12" s="124">
        <v>3560</v>
      </c>
      <c r="G12" s="124">
        <v>280</v>
      </c>
      <c r="H12" s="124">
        <f>[18]NSB!M33</f>
        <v>102.16734246575344</v>
      </c>
      <c r="I12" s="124">
        <v>280</v>
      </c>
      <c r="J12" s="124">
        <f>[18]NSB!M34</f>
        <v>96.371610958904128</v>
      </c>
      <c r="K12" s="124">
        <v>280</v>
      </c>
      <c r="L12" s="124">
        <f>[18]NSB!M35</f>
        <v>85.775123287671235</v>
      </c>
      <c r="M12" s="124">
        <v>280</v>
      </c>
      <c r="N12" s="124">
        <f>[18]NSB!M36</f>
        <v>84.968829448383104</v>
      </c>
      <c r="O12" s="124">
        <v>280</v>
      </c>
      <c r="P12" s="124">
        <f>[18]NSB!M37</f>
        <v>77.572058164102685</v>
      </c>
      <c r="Q12" s="124">
        <v>280</v>
      </c>
      <c r="R12" s="124">
        <f>[18]NSB!M38</f>
        <v>62.960745205479448</v>
      </c>
      <c r="S12" s="124">
        <v>280</v>
      </c>
      <c r="T12" s="124">
        <f>[18]NSB!M39</f>
        <v>53.734431496487275</v>
      </c>
      <c r="U12" s="124">
        <v>280</v>
      </c>
      <c r="V12" s="124">
        <f>[18]NSB!M40</f>
        <v>49.334618467482208</v>
      </c>
      <c r="W12" s="124">
        <v>280</v>
      </c>
      <c r="X12" s="124">
        <f>[18]NSB!M41</f>
        <v>31.364624657534247</v>
      </c>
      <c r="Y12" s="124">
        <v>280</v>
      </c>
      <c r="Z12" s="124">
        <f>[18]NSB!M42</f>
        <v>25.875815342465753</v>
      </c>
      <c r="AA12" s="124">
        <v>280</v>
      </c>
      <c r="AB12" s="124">
        <f>[18]NSB!M43</f>
        <v>20.387006027397263</v>
      </c>
      <c r="AC12" s="124">
        <v>280</v>
      </c>
      <c r="AD12" s="125">
        <f>[18]NSB!M44</f>
        <v>14.898196712328767</v>
      </c>
      <c r="AE12" s="123" t="s">
        <v>50</v>
      </c>
      <c r="AF12" s="126">
        <v>742.66</v>
      </c>
      <c r="AG12" s="126">
        <v>0</v>
      </c>
      <c r="AH12" s="126">
        <v>200</v>
      </c>
      <c r="AI12" s="126">
        <v>289</v>
      </c>
      <c r="AJ12" s="126">
        <v>3.9205780821917808</v>
      </c>
      <c r="AK12" s="127">
        <f>1.47+2.213</f>
        <v>3.6829999999999998</v>
      </c>
      <c r="AL12" s="126">
        <v>0</v>
      </c>
      <c r="AM12" s="126">
        <f>AF12-AI12</f>
        <v>453.65999999999997</v>
      </c>
      <c r="AN12" s="126">
        <v>0</v>
      </c>
      <c r="AO12" s="126">
        <v>2.6339999999999999</v>
      </c>
      <c r="AP12" s="126">
        <v>0</v>
      </c>
      <c r="AQ12" s="126"/>
      <c r="AR12" s="126">
        <v>0</v>
      </c>
      <c r="AS12" s="126"/>
      <c r="AT12" s="126">
        <v>0</v>
      </c>
      <c r="AU12" s="126"/>
      <c r="AV12" s="126">
        <v>0</v>
      </c>
      <c r="AW12" s="126">
        <v>12.1</v>
      </c>
      <c r="AX12" s="126">
        <v>0</v>
      </c>
      <c r="AY12" s="126"/>
      <c r="AZ12" s="126">
        <v>0</v>
      </c>
      <c r="BA12" s="127"/>
      <c r="BB12" s="126"/>
      <c r="BC12" s="126">
        <v>0</v>
      </c>
      <c r="BD12" s="126">
        <v>0</v>
      </c>
      <c r="BE12" s="126">
        <v>0</v>
      </c>
      <c r="BF12" s="126">
        <v>0</v>
      </c>
      <c r="BG12" s="126">
        <v>0</v>
      </c>
      <c r="BH12" s="126">
        <v>0</v>
      </c>
      <c r="BI12" s="126">
        <v>0</v>
      </c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8">
        <f t="shared" si="1"/>
        <v>200</v>
      </c>
      <c r="BW12" s="128">
        <f t="shared" si="0"/>
        <v>3.9205780821917808</v>
      </c>
      <c r="BX12" s="116">
        <f t="shared" si="2"/>
        <v>18.417000000000002</v>
      </c>
      <c r="BY12" s="43">
        <f>BW12/10*4</f>
        <v>1.5682312328767123</v>
      </c>
      <c r="BZ12" s="43">
        <f>BW12/10*6</f>
        <v>2.3523468493150683</v>
      </c>
      <c r="CA12" s="36"/>
    </row>
    <row r="13" spans="1:79" x14ac:dyDescent="0.3">
      <c r="A13" s="134" t="s">
        <v>51</v>
      </c>
      <c r="B13" s="135">
        <v>5000</v>
      </c>
      <c r="C13" s="36" t="s">
        <v>51</v>
      </c>
      <c r="D13" s="37">
        <v>5000</v>
      </c>
      <c r="E13" s="134" t="s">
        <v>52</v>
      </c>
      <c r="F13" s="135">
        <v>5000</v>
      </c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>
        <v>673</v>
      </c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6">
        <f>B13*0.2/12*6</f>
        <v>500</v>
      </c>
      <c r="AE13" s="134" t="s">
        <v>44</v>
      </c>
      <c r="AF13" s="137">
        <v>5000</v>
      </c>
      <c r="AG13" s="137">
        <v>4500</v>
      </c>
      <c r="AH13" s="137"/>
      <c r="AI13" s="137"/>
      <c r="AJ13" s="137"/>
      <c r="AK13" s="138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8"/>
      <c r="BB13" s="137">
        <v>500</v>
      </c>
      <c r="BC13" s="137">
        <v>500</v>
      </c>
      <c r="BD13" s="137">
        <v>440.20269999999999</v>
      </c>
      <c r="BE13" s="137">
        <v>440.2</v>
      </c>
      <c r="BF13" s="137">
        <v>0</v>
      </c>
      <c r="BG13" s="137">
        <v>0</v>
      </c>
      <c r="BH13" s="137">
        <v>0</v>
      </c>
      <c r="BI13" s="137">
        <v>0</v>
      </c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>
        <v>500</v>
      </c>
      <c r="BU13" s="138">
        <f>4500*12.12%/366*183</f>
        <v>272.7</v>
      </c>
      <c r="BV13" s="139">
        <f t="shared" si="1"/>
        <v>1000</v>
      </c>
      <c r="BW13" s="139">
        <f t="shared" si="0"/>
        <v>712.90269999999998</v>
      </c>
      <c r="BX13" s="116">
        <f t="shared" si="2"/>
        <v>712.9</v>
      </c>
      <c r="BY13" s="36"/>
      <c r="BZ13" s="43">
        <f>BW13</f>
        <v>712.90269999999998</v>
      </c>
      <c r="CA13" s="36"/>
    </row>
    <row r="14" spans="1:79" x14ac:dyDescent="0.3">
      <c r="A14" s="36"/>
      <c r="B14" s="129"/>
      <c r="C14" s="129"/>
      <c r="D14" s="129"/>
      <c r="E14" s="36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30"/>
      <c r="AE14" s="130"/>
      <c r="AF14" s="131"/>
      <c r="AG14" s="131"/>
      <c r="AH14" s="132"/>
      <c r="AI14" s="132"/>
      <c r="AJ14" s="132"/>
      <c r="AK14" s="133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3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22">
        <f t="shared" si="1"/>
        <v>0</v>
      </c>
      <c r="BW14" s="22">
        <f t="shared" si="0"/>
        <v>0</v>
      </c>
      <c r="BX14" s="116">
        <f t="shared" si="2"/>
        <v>0</v>
      </c>
      <c r="BY14" s="36"/>
      <c r="BZ14" s="36"/>
      <c r="CA14" s="36"/>
    </row>
    <row r="15" spans="1:79" x14ac:dyDescent="0.3">
      <c r="A15" s="123" t="s">
        <v>53</v>
      </c>
      <c r="B15" s="124">
        <v>15000</v>
      </c>
      <c r="C15" s="36" t="s">
        <v>53</v>
      </c>
      <c r="D15" s="37">
        <v>15000</v>
      </c>
      <c r="E15" s="140" t="s">
        <v>54</v>
      </c>
      <c r="F15" s="124">
        <v>11710</v>
      </c>
      <c r="G15" s="124">
        <v>214</v>
      </c>
      <c r="H15" s="124">
        <f>'[18]BOC 15 Bn'!L52</f>
        <v>315.66584876712335</v>
      </c>
      <c r="I15" s="124">
        <v>214</v>
      </c>
      <c r="J15" s="124">
        <f>'[18]BOC 15 Bn'!L53</f>
        <v>285.83307945205479</v>
      </c>
      <c r="K15" s="124">
        <v>214</v>
      </c>
      <c r="L15" s="124">
        <f>'[18]BOC 15 Bn'!L54</f>
        <v>236.1687846575343</v>
      </c>
      <c r="M15" s="124">
        <v>214</v>
      </c>
      <c r="N15" s="124">
        <f>'[18]BOC 15 Bn'!L55</f>
        <v>246.35251561643835</v>
      </c>
      <c r="O15" s="124">
        <v>214</v>
      </c>
      <c r="P15" s="124">
        <f>'[18]BOC 15 Bn'!L56</f>
        <v>208.32098630136989</v>
      </c>
      <c r="Q15" s="124">
        <v>214</v>
      </c>
      <c r="R15" s="124">
        <f>'[18]BOC 15 Bn'!L57</f>
        <v>207.69203342465752</v>
      </c>
      <c r="S15" s="124">
        <v>214</v>
      </c>
      <c r="T15" s="124">
        <f>'[18]BOC 15 Bn'!L58</f>
        <v>199.2157808219178</v>
      </c>
      <c r="U15" s="124">
        <v>214</v>
      </c>
      <c r="V15" s="124">
        <f>'[18]BOC 15 Bn'!L59</f>
        <v>191.13649315972606</v>
      </c>
      <c r="W15" s="124">
        <v>243</v>
      </c>
      <c r="X15" s="124">
        <f>'[18]BOC 15 Bn'!L60</f>
        <v>180.79436712328769</v>
      </c>
      <c r="Y15" s="124">
        <v>243</v>
      </c>
      <c r="Z15" s="124">
        <f>'[18]BOC 15 Bn'!L61</f>
        <v>176.49226849315065</v>
      </c>
      <c r="AA15" s="124">
        <v>243</v>
      </c>
      <c r="AB15" s="124">
        <f>'[18]BOC 15 Bn'!L62</f>
        <v>172.19016986301369</v>
      </c>
      <c r="AC15" s="124">
        <v>243</v>
      </c>
      <c r="AD15" s="125">
        <f>'[18]BOC 15 Bn'!L63</f>
        <v>167.88807123287671</v>
      </c>
      <c r="AE15" s="140" t="s">
        <v>44</v>
      </c>
      <c r="AF15" s="126">
        <v>9240</v>
      </c>
      <c r="AG15" s="126">
        <v>7296</v>
      </c>
      <c r="AH15" s="126">
        <v>243</v>
      </c>
      <c r="AI15" s="126">
        <v>243</v>
      </c>
      <c r="AJ15" s="126">
        <v>101.21625</v>
      </c>
      <c r="AK15" s="127">
        <f>70.823+35.4113</f>
        <v>106.23429999999999</v>
      </c>
      <c r="AL15" s="126">
        <v>243</v>
      </c>
      <c r="AM15" s="126">
        <v>243</v>
      </c>
      <c r="AN15" s="126">
        <v>98.482500000000016</v>
      </c>
      <c r="AO15" s="126">
        <f>40.913+20.456</f>
        <v>61.369</v>
      </c>
      <c r="AP15" s="126">
        <v>243</v>
      </c>
      <c r="AQ15" s="126">
        <v>243</v>
      </c>
      <c r="AR15" s="126">
        <v>95.748750000000015</v>
      </c>
      <c r="AS15" s="126">
        <v>94.888999999999996</v>
      </c>
      <c r="AT15" s="126">
        <v>243</v>
      </c>
      <c r="AU15" s="126">
        <v>243</v>
      </c>
      <c r="AV15" s="126">
        <v>87.503</v>
      </c>
      <c r="AW15" s="126">
        <v>85.775999999999996</v>
      </c>
      <c r="AX15" s="126">
        <v>243</v>
      </c>
      <c r="AY15" s="126">
        <v>243</v>
      </c>
      <c r="AZ15" s="126">
        <v>84.931250000000006</v>
      </c>
      <c r="BA15" s="127">
        <v>81.138999999999996</v>
      </c>
      <c r="BB15" s="126">
        <v>243</v>
      </c>
      <c r="BC15" s="126">
        <v>243</v>
      </c>
      <c r="BD15" s="126">
        <v>72.307749999999999</v>
      </c>
      <c r="BE15" s="126">
        <v>71.14</v>
      </c>
      <c r="BF15" s="126">
        <v>243</v>
      </c>
      <c r="BG15" s="126">
        <v>243</v>
      </c>
      <c r="BH15" s="126">
        <v>70.049875</v>
      </c>
      <c r="BI15" s="126">
        <v>67.81</v>
      </c>
      <c r="BJ15" s="126">
        <v>281</v>
      </c>
      <c r="BK15" s="126">
        <v>281</v>
      </c>
      <c r="BL15" s="126">
        <v>67.792000000000002</v>
      </c>
      <c r="BM15" s="126">
        <v>64.900000000000006</v>
      </c>
      <c r="BN15" s="126">
        <v>281</v>
      </c>
      <c r="BO15" s="126">
        <v>65</v>
      </c>
      <c r="BP15" s="126">
        <v>281</v>
      </c>
      <c r="BQ15" s="126">
        <v>59</v>
      </c>
      <c r="BR15" s="126">
        <v>281</v>
      </c>
      <c r="BS15" s="126">
        <v>57</v>
      </c>
      <c r="BT15" s="126">
        <v>281</v>
      </c>
      <c r="BU15" s="126">
        <v>54</v>
      </c>
      <c r="BV15" s="128">
        <f t="shared" si="1"/>
        <v>3106</v>
      </c>
      <c r="BW15" s="128">
        <f t="shared" si="0"/>
        <v>913.03137500000003</v>
      </c>
      <c r="BX15" s="116">
        <f t="shared" si="2"/>
        <v>868.25729999999999</v>
      </c>
      <c r="BY15" s="43">
        <f>BW15/3*2</f>
        <v>608.68758333333335</v>
      </c>
      <c r="BZ15" s="43">
        <f>BW15/3</f>
        <v>304.34379166666668</v>
      </c>
      <c r="CA15" s="36"/>
    </row>
    <row r="16" spans="1:79" x14ac:dyDescent="0.3">
      <c r="A16" s="134" t="s">
        <v>53</v>
      </c>
      <c r="B16" s="135">
        <v>5000</v>
      </c>
      <c r="C16" s="36" t="s">
        <v>53</v>
      </c>
      <c r="D16" s="37">
        <v>5000</v>
      </c>
      <c r="E16" s="134" t="s">
        <v>55</v>
      </c>
      <c r="F16" s="135">
        <v>4820</v>
      </c>
      <c r="G16" s="135">
        <v>20</v>
      </c>
      <c r="H16" s="135">
        <f>'[18]BOC 5 Bn'!L44</f>
        <v>128.16961095890412</v>
      </c>
      <c r="I16" s="135">
        <v>20</v>
      </c>
      <c r="J16" s="135">
        <f>'[18]BOC 5 Bn'!L45</f>
        <v>116.83788493150686</v>
      </c>
      <c r="K16" s="135">
        <v>20</v>
      </c>
      <c r="L16" s="135">
        <f>'[18]BOC 5 Bn'!L46</f>
        <v>97.946849315068476</v>
      </c>
      <c r="M16" s="135">
        <v>20</v>
      </c>
      <c r="N16" s="135">
        <f>'[18]BOC 5 Bn'!L47</f>
        <v>103.89807671</v>
      </c>
      <c r="O16" s="135">
        <v>20</v>
      </c>
      <c r="P16" s="135">
        <f>'[18]BOC 5 Bn'!L48</f>
        <v>88.658652063835618</v>
      </c>
      <c r="Q16" s="135">
        <v>20</v>
      </c>
      <c r="R16" s="135">
        <f>'[18]BOC 5 Bn'!L49</f>
        <v>90.373863628897453</v>
      </c>
      <c r="S16" s="135">
        <v>20</v>
      </c>
      <c r="T16" s="135">
        <f>'[18]BOC 5 Bn'!L50</f>
        <v>88.201413694383561</v>
      </c>
      <c r="U16" s="135">
        <v>20</v>
      </c>
      <c r="V16" s="135">
        <f>'[18]BOC 5 Bn'!L51</f>
        <v>85.403956170136993</v>
      </c>
      <c r="W16" s="135">
        <v>20</v>
      </c>
      <c r="X16" s="135">
        <f>'[18]BOC 5 Bn'!L52</f>
        <v>85.251189041095884</v>
      </c>
      <c r="Y16" s="135">
        <v>20</v>
      </c>
      <c r="Z16" s="135">
        <f>'[18]BOC 5 Bn'!L53</f>
        <v>84.885304109589029</v>
      </c>
      <c r="AA16" s="135">
        <v>20</v>
      </c>
      <c r="AB16" s="135">
        <f>'[18]BOC 5 Bn'!L54</f>
        <v>84.519419178082188</v>
      </c>
      <c r="AC16" s="135">
        <v>20</v>
      </c>
      <c r="AD16" s="136">
        <f>'[18]BOC 5 Bn'!L55</f>
        <v>84.153534246575319</v>
      </c>
      <c r="AE16" s="134" t="s">
        <v>44</v>
      </c>
      <c r="AF16" s="137">
        <v>4580</v>
      </c>
      <c r="AG16" s="137">
        <v>4345</v>
      </c>
      <c r="AH16" s="137">
        <v>20</v>
      </c>
      <c r="AI16" s="137">
        <v>20</v>
      </c>
      <c r="AJ16" s="137">
        <v>51.300000000000004</v>
      </c>
      <c r="AK16" s="138">
        <v>56.781999999999996</v>
      </c>
      <c r="AL16" s="137">
        <v>20</v>
      </c>
      <c r="AM16" s="137">
        <v>20</v>
      </c>
      <c r="AN16" s="137">
        <v>51.07500000000001</v>
      </c>
      <c r="AO16" s="137">
        <v>53.677</v>
      </c>
      <c r="AP16" s="137">
        <v>35</v>
      </c>
      <c r="AQ16" s="137">
        <v>35</v>
      </c>
      <c r="AR16" s="137">
        <v>50.85</v>
      </c>
      <c r="AS16" s="137">
        <v>48.436</v>
      </c>
      <c r="AT16" s="137">
        <v>35</v>
      </c>
      <c r="AU16" s="137">
        <v>20</v>
      </c>
      <c r="AV16" s="137">
        <v>47.466250000000002</v>
      </c>
      <c r="AW16" s="137">
        <v>50.228000000000002</v>
      </c>
      <c r="AX16" s="137">
        <v>35</v>
      </c>
      <c r="AY16" s="137">
        <v>35</v>
      </c>
      <c r="AZ16" s="137">
        <v>47.095833333333331</v>
      </c>
      <c r="BA16" s="138">
        <v>46.45</v>
      </c>
      <c r="BB16" s="137">
        <v>35</v>
      </c>
      <c r="BC16" s="137">
        <v>35</v>
      </c>
      <c r="BD16" s="137">
        <v>41.022708333333334</v>
      </c>
      <c r="BE16" s="137">
        <v>44.8</v>
      </c>
      <c r="BF16" s="137">
        <v>35</v>
      </c>
      <c r="BG16" s="137">
        <v>35</v>
      </c>
      <c r="BH16" s="137">
        <v>40.697499999999998</v>
      </c>
      <c r="BI16" s="137">
        <v>40.299999999999997</v>
      </c>
      <c r="BJ16" s="137">
        <v>35</v>
      </c>
      <c r="BK16" s="137">
        <v>35</v>
      </c>
      <c r="BL16" s="137">
        <v>40.372291666666669</v>
      </c>
      <c r="BM16" s="137">
        <v>39.200000000000003</v>
      </c>
      <c r="BN16" s="137">
        <v>10</v>
      </c>
      <c r="BO16" s="137">
        <v>39.200000000000003</v>
      </c>
      <c r="BP16" s="137">
        <v>10</v>
      </c>
      <c r="BQ16" s="137">
        <v>39.1</v>
      </c>
      <c r="BR16" s="137">
        <v>10</v>
      </c>
      <c r="BS16" s="137">
        <v>39</v>
      </c>
      <c r="BT16" s="137">
        <v>10</v>
      </c>
      <c r="BU16" s="137">
        <v>39</v>
      </c>
      <c r="BV16" s="139">
        <f t="shared" si="1"/>
        <v>290</v>
      </c>
      <c r="BW16" s="139">
        <f t="shared" si="0"/>
        <v>526.17958333333331</v>
      </c>
      <c r="BX16" s="116">
        <f t="shared" si="2"/>
        <v>536.173</v>
      </c>
      <c r="BY16" s="36"/>
      <c r="BZ16" s="43">
        <f>BW16</f>
        <v>526.17958333333331</v>
      </c>
      <c r="CA16" s="36"/>
    </row>
    <row r="17" spans="1:79" x14ac:dyDescent="0.3">
      <c r="A17" s="117" t="s">
        <v>53</v>
      </c>
      <c r="B17" s="118">
        <v>3000</v>
      </c>
      <c r="C17" s="36" t="s">
        <v>53</v>
      </c>
      <c r="D17" s="37">
        <v>3000</v>
      </c>
      <c r="E17" s="117" t="s">
        <v>56</v>
      </c>
      <c r="F17" s="118">
        <v>0</v>
      </c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>
        <v>50</v>
      </c>
      <c r="T17" s="118">
        <v>9</v>
      </c>
      <c r="U17" s="118">
        <v>50</v>
      </c>
      <c r="V17" s="118">
        <f>576*0.24/365*31</f>
        <v>11.740931506849316</v>
      </c>
      <c r="W17" s="118">
        <v>50</v>
      </c>
      <c r="X17" s="118">
        <f>1000*0.24/365*30</f>
        <v>19.726027397260275</v>
      </c>
      <c r="Y17" s="118">
        <v>50</v>
      </c>
      <c r="Z17" s="118">
        <f>1500*0.24/365*30</f>
        <v>29.589041095890408</v>
      </c>
      <c r="AA17" s="118">
        <v>50</v>
      </c>
      <c r="AB17" s="118">
        <f>2000*0.24/365*30</f>
        <v>39.452054794520549</v>
      </c>
      <c r="AC17" s="118">
        <v>50</v>
      </c>
      <c r="AD17" s="119">
        <f>2500*0.24/365*30</f>
        <v>49.315068493150683</v>
      </c>
      <c r="AE17" s="117" t="s">
        <v>50</v>
      </c>
      <c r="AF17" s="120">
        <v>1665.9</v>
      </c>
      <c r="AG17" s="120">
        <v>1909</v>
      </c>
      <c r="AH17" s="120">
        <v>50</v>
      </c>
      <c r="AI17" s="120">
        <v>50</v>
      </c>
      <c r="AJ17" s="120">
        <v>54</v>
      </c>
      <c r="AK17" s="121">
        <v>35.67</v>
      </c>
      <c r="AL17" s="120">
        <v>50</v>
      </c>
      <c r="AM17" s="120">
        <v>50</v>
      </c>
      <c r="AN17" s="120">
        <v>40.512328767123293</v>
      </c>
      <c r="AO17" s="120">
        <v>30.776</v>
      </c>
      <c r="AP17" s="120">
        <v>50</v>
      </c>
      <c r="AQ17" s="120">
        <v>50</v>
      </c>
      <c r="AR17" s="120">
        <v>35.758904109589039</v>
      </c>
      <c r="AS17" s="120">
        <v>25.620999999999999</v>
      </c>
      <c r="AT17" s="120">
        <v>50</v>
      </c>
      <c r="AU17" s="120">
        <v>50</v>
      </c>
      <c r="AV17" s="120">
        <v>29.112500000000001</v>
      </c>
      <c r="AW17" s="120">
        <v>21.704999999999998</v>
      </c>
      <c r="AX17" s="120">
        <v>50</v>
      </c>
      <c r="AY17" s="120">
        <v>50</v>
      </c>
      <c r="AZ17" s="120">
        <v>28.541666666666668</v>
      </c>
      <c r="BA17" s="121">
        <v>19.11</v>
      </c>
      <c r="BB17" s="120">
        <v>50</v>
      </c>
      <c r="BC17" s="120">
        <v>50</v>
      </c>
      <c r="BD17" s="120">
        <v>23.785416666666666</v>
      </c>
      <c r="BE17" s="120">
        <v>19.260000000000002</v>
      </c>
      <c r="BF17" s="120">
        <v>50</v>
      </c>
      <c r="BG17" s="120">
        <v>50</v>
      </c>
      <c r="BH17" s="120">
        <v>23.3</v>
      </c>
      <c r="BI17" s="120">
        <v>17.725999999999999</v>
      </c>
      <c r="BJ17" s="120">
        <v>50</v>
      </c>
      <c r="BK17" s="120">
        <v>50</v>
      </c>
      <c r="BL17" s="120">
        <v>22.814583333333335</v>
      </c>
      <c r="BM17" s="120">
        <v>18.2</v>
      </c>
      <c r="BN17" s="120">
        <v>50</v>
      </c>
      <c r="BO17" s="120">
        <f>AG17*11.1%/365*30</f>
        <v>17.416356164383561</v>
      </c>
      <c r="BP17" s="120">
        <v>50</v>
      </c>
      <c r="BQ17" s="120">
        <f>(AG17-BN17)*11.1%/365*30</f>
        <v>16.960191780821916</v>
      </c>
      <c r="BR17" s="120">
        <v>50</v>
      </c>
      <c r="BS17" s="120">
        <f>(AG17-(BR17*2))*11.1%/360*30</f>
        <v>16.733250000000002</v>
      </c>
      <c r="BT17" s="120">
        <v>50</v>
      </c>
      <c r="BU17" s="120">
        <f>(AG17-(BT17*2))*11.1%/365*30</f>
        <v>16.504027397260273</v>
      </c>
      <c r="BV17" s="122">
        <f t="shared" si="1"/>
        <v>600</v>
      </c>
      <c r="BW17" s="122">
        <f t="shared" si="0"/>
        <v>325.43922488584474</v>
      </c>
      <c r="BX17" s="116">
        <f t="shared" si="2"/>
        <v>255.68182534246571</v>
      </c>
      <c r="BY17" s="36"/>
      <c r="BZ17" s="36"/>
      <c r="CA17" s="43">
        <f>BW17</f>
        <v>325.43922488584474</v>
      </c>
    </row>
    <row r="18" spans="1:79" x14ac:dyDescent="0.3">
      <c r="A18" s="36"/>
      <c r="B18" s="129"/>
      <c r="C18" s="129"/>
      <c r="D18" s="129"/>
      <c r="E18" s="36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30"/>
      <c r="AE18" s="130"/>
      <c r="AF18" s="131"/>
      <c r="AG18" s="131"/>
      <c r="AH18" s="132"/>
      <c r="AI18" s="132"/>
      <c r="AJ18" s="132"/>
      <c r="AK18" s="133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3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16">
        <f t="shared" si="2"/>
        <v>0</v>
      </c>
      <c r="BY18" s="36"/>
      <c r="BZ18" s="36"/>
      <c r="CA18" s="36"/>
    </row>
    <row r="19" spans="1:79" x14ac:dyDescent="0.3">
      <c r="A19" s="111" t="s">
        <v>58</v>
      </c>
      <c r="B19" s="112">
        <v>3000</v>
      </c>
      <c r="C19" s="36" t="s">
        <v>58</v>
      </c>
      <c r="D19" s="37">
        <v>3000</v>
      </c>
      <c r="E19" s="111" t="s">
        <v>59</v>
      </c>
      <c r="F19" s="112">
        <v>2312</v>
      </c>
      <c r="G19" s="112">
        <v>62.5</v>
      </c>
      <c r="H19" s="112">
        <f>[18]NTB3Bn!K21</f>
        <v>59.50513698630138</v>
      </c>
      <c r="I19" s="112">
        <v>62.5</v>
      </c>
      <c r="J19" s="112">
        <f>[18]NTB3Bn!K22</f>
        <v>57.950616438356178</v>
      </c>
      <c r="K19" s="112">
        <v>62.5</v>
      </c>
      <c r="L19" s="112">
        <f>[18]NTB3Bn!K23</f>
        <v>51.073150684931512</v>
      </c>
      <c r="M19" s="112">
        <v>62.5</v>
      </c>
      <c r="N19" s="112">
        <f>[18]NTB3Bn!K24</f>
        <v>54.97457191780822</v>
      </c>
      <c r="O19" s="112">
        <v>62.5</v>
      </c>
      <c r="P19" s="112">
        <f>[18]NTB3Bn!$K$25</f>
        <v>51.309143835616439</v>
      </c>
      <c r="Q19" s="112">
        <v>62.5</v>
      </c>
      <c r="R19" s="112">
        <f>[18]NTB3Bn!$K$26</f>
        <v>40.639726027397259</v>
      </c>
      <c r="S19" s="112">
        <v>62.5</v>
      </c>
      <c r="T19" s="112">
        <f>[18]NTB3Bn!$K$27</f>
        <v>38.136986301369859</v>
      </c>
      <c r="U19" s="112">
        <v>62.5</v>
      </c>
      <c r="V19" s="112">
        <f>[18]NTB3Bn!$K$28</f>
        <v>37.896438356164388</v>
      </c>
      <c r="W19" s="112">
        <v>62.5</v>
      </c>
      <c r="X19" s="112">
        <f>[18]NTB3Bn!$K$29</f>
        <v>34.142465753424659</v>
      </c>
      <c r="Y19" s="112">
        <v>62.5</v>
      </c>
      <c r="Z19" s="112">
        <f>[18]NTB3Bn!$K$30</f>
        <v>33.004383561643834</v>
      </c>
      <c r="AA19" s="112">
        <v>62.5</v>
      </c>
      <c r="AB19" s="112">
        <f>[18]NTB3Bn!$K$31</f>
        <v>31.866301369863013</v>
      </c>
      <c r="AC19" s="112">
        <v>62.5</v>
      </c>
      <c r="AD19" s="113">
        <f>[18]NTB3Bn!$K$32</f>
        <v>30.728219178082192</v>
      </c>
      <c r="AE19" s="111" t="s">
        <v>60</v>
      </c>
      <c r="AF19" s="114">
        <v>1625</v>
      </c>
      <c r="AG19" s="114">
        <v>1125</v>
      </c>
      <c r="AH19" s="114">
        <v>62.5</v>
      </c>
      <c r="AI19" s="114">
        <v>62.5</v>
      </c>
      <c r="AJ19" s="114">
        <v>17.447916666666668</v>
      </c>
      <c r="AK19" s="115">
        <v>21.431000000000001</v>
      </c>
      <c r="AL19" s="114">
        <v>62.5</v>
      </c>
      <c r="AM19" s="114">
        <v>62.5</v>
      </c>
      <c r="AN19" s="114">
        <v>16.75</v>
      </c>
      <c r="AO19" s="114">
        <v>16.388999999999999</v>
      </c>
      <c r="AP19" s="114">
        <v>62.5</v>
      </c>
      <c r="AQ19" s="114">
        <v>62.5</v>
      </c>
      <c r="AR19" s="114">
        <v>16.052083333333332</v>
      </c>
      <c r="AS19" s="114">
        <v>16.79</v>
      </c>
      <c r="AT19" s="114">
        <v>62.5</v>
      </c>
      <c r="AU19" s="114">
        <v>62.5</v>
      </c>
      <c r="AV19" s="114">
        <v>14.4375</v>
      </c>
      <c r="AW19" s="114">
        <v>15.493</v>
      </c>
      <c r="AX19" s="114">
        <v>62.5</v>
      </c>
      <c r="AY19" s="114">
        <v>62.5</v>
      </c>
      <c r="AZ19" s="114">
        <v>13.78125</v>
      </c>
      <c r="BA19" s="115">
        <v>13.9</v>
      </c>
      <c r="BB19" s="114">
        <v>62.5</v>
      </c>
      <c r="BC19" s="114">
        <v>62.5</v>
      </c>
      <c r="BD19" s="114">
        <v>11.510416666666666</v>
      </c>
      <c r="BE19" s="114">
        <v>12.82</v>
      </c>
      <c r="BF19" s="114">
        <v>62.5</v>
      </c>
      <c r="BG19" s="114">
        <v>62.5</v>
      </c>
      <c r="BH19" s="114">
        <v>10.934895833333334</v>
      </c>
      <c r="BI19" s="114">
        <v>12.45</v>
      </c>
      <c r="BJ19" s="114">
        <v>62.5</v>
      </c>
      <c r="BK19" s="114">
        <v>62.5</v>
      </c>
      <c r="BL19" s="114">
        <v>10.359375</v>
      </c>
      <c r="BM19" s="114">
        <v>9.98</v>
      </c>
      <c r="BN19" s="114">
        <v>62.5</v>
      </c>
      <c r="BO19" s="114">
        <v>9.5</v>
      </c>
      <c r="BP19" s="114">
        <v>62.5</v>
      </c>
      <c r="BQ19" s="114">
        <v>8.9</v>
      </c>
      <c r="BR19" s="114">
        <v>62.5</v>
      </c>
      <c r="BS19" s="114">
        <v>8.4</v>
      </c>
      <c r="BT19" s="114">
        <v>62.5</v>
      </c>
      <c r="BU19" s="114">
        <v>7.8</v>
      </c>
      <c r="BV19" s="116">
        <f>AH19+AL19+AP19+AT19+AX19+BB19+BF19+BJ19+BN19+BP19+BR19+BT19</f>
        <v>750</v>
      </c>
      <c r="BW19" s="116">
        <f>AJ19+AN19+AR19+AV19+AZ19+BD19+BH19+BL19+BO19+BQ19+BS19+BU19</f>
        <v>145.87343750000002</v>
      </c>
      <c r="BX19" s="116">
        <f t="shared" si="2"/>
        <v>153.85300000000004</v>
      </c>
      <c r="BY19" s="43">
        <f>BW19</f>
        <v>145.87343750000002</v>
      </c>
      <c r="BZ19" s="36"/>
      <c r="CA19" s="36"/>
    </row>
    <row r="20" spans="1:79" x14ac:dyDescent="0.3">
      <c r="A20" s="111" t="s">
        <v>58</v>
      </c>
      <c r="B20" s="112">
        <v>3000</v>
      </c>
      <c r="C20" s="36" t="s">
        <v>58</v>
      </c>
      <c r="D20" s="37">
        <v>3000</v>
      </c>
      <c r="E20" s="111" t="s">
        <v>61</v>
      </c>
      <c r="F20" s="112">
        <v>0</v>
      </c>
      <c r="G20" s="112"/>
      <c r="H20" s="112"/>
      <c r="I20" s="112"/>
      <c r="J20" s="112"/>
      <c r="K20" s="112"/>
      <c r="L20" s="112"/>
      <c r="M20" s="112"/>
      <c r="N20" s="112"/>
      <c r="O20" s="112">
        <v>167</v>
      </c>
      <c r="P20" s="112">
        <f>'[18]NTB 3 new'!$K$11</f>
        <v>48.945205479452056</v>
      </c>
      <c r="Q20" s="112">
        <v>167</v>
      </c>
      <c r="R20" s="112">
        <f>'[18]NTB 3 new'!$K$12</f>
        <v>57.32027396585918</v>
      </c>
      <c r="S20" s="112">
        <v>167</v>
      </c>
      <c r="T20" s="112">
        <f>'[18]NTB 3 new'!$K$13</f>
        <v>52.208219165030151</v>
      </c>
      <c r="U20" s="112">
        <v>167</v>
      </c>
      <c r="V20" s="112">
        <f>'[18]NTB 3 new'!$K$14</f>
        <v>44.054794502926029</v>
      </c>
      <c r="W20" s="112">
        <v>167</v>
      </c>
      <c r="X20" s="112">
        <f>'[18]NTB 3 new'!$K$15</f>
        <v>41.117808195682201</v>
      </c>
      <c r="Y20" s="112">
        <v>167</v>
      </c>
      <c r="Z20" s="112">
        <f>'[18]NTB 3 new'!$K$16</f>
        <v>38.180821870816438</v>
      </c>
      <c r="AA20" s="112">
        <v>167</v>
      </c>
      <c r="AB20" s="112">
        <f>'[18]NTB 3 new'!$K$17</f>
        <v>35.243835528328766</v>
      </c>
      <c r="AC20" s="112">
        <v>167</v>
      </c>
      <c r="AD20" s="113">
        <f>'[18]NTB 3 new'!$K$18</f>
        <v>32.306849168219181</v>
      </c>
      <c r="AE20" s="111" t="s">
        <v>60</v>
      </c>
      <c r="AF20" s="114">
        <v>1666.67</v>
      </c>
      <c r="AG20" s="114">
        <v>333.33</v>
      </c>
      <c r="AH20" s="114">
        <v>166.667</v>
      </c>
      <c r="AI20" s="181">
        <v>166.67</v>
      </c>
      <c r="AJ20" s="114">
        <v>16.75</v>
      </c>
      <c r="AK20" s="115">
        <v>17.52</v>
      </c>
      <c r="AL20" s="114">
        <v>166.667</v>
      </c>
      <c r="AM20" s="181">
        <v>166.67</v>
      </c>
      <c r="AN20" s="114">
        <v>14.888851666666667</v>
      </c>
      <c r="AO20" s="114">
        <v>14.568</v>
      </c>
      <c r="AP20" s="114">
        <v>166.667</v>
      </c>
      <c r="AQ20" s="181">
        <v>166.67</v>
      </c>
      <c r="AR20" s="114">
        <v>13.027703333333335</v>
      </c>
      <c r="AS20" s="114">
        <v>13.585000000000001</v>
      </c>
      <c r="AT20" s="114">
        <v>166.667</v>
      </c>
      <c r="AU20" s="181">
        <v>166.67</v>
      </c>
      <c r="AV20" s="114">
        <v>10.499895</v>
      </c>
      <c r="AW20" s="114">
        <v>10.254</v>
      </c>
      <c r="AX20" s="114">
        <v>166.667</v>
      </c>
      <c r="AY20" s="181">
        <v>166.67</v>
      </c>
      <c r="AZ20" s="114">
        <v>8.74986</v>
      </c>
      <c r="BA20" s="115">
        <v>8.8290000000000006</v>
      </c>
      <c r="BB20" s="114">
        <v>166.667</v>
      </c>
      <c r="BC20" s="181">
        <v>166.67</v>
      </c>
      <c r="BD20" s="114">
        <v>6.138735416666667</v>
      </c>
      <c r="BE20" s="114">
        <v>6.78</v>
      </c>
      <c r="BF20" s="114">
        <v>166.667</v>
      </c>
      <c r="BG20" s="181">
        <v>166.667</v>
      </c>
      <c r="BH20" s="114">
        <v>4.6039824999999999</v>
      </c>
      <c r="BI20" s="114">
        <v>4.6790000000000003</v>
      </c>
      <c r="BJ20" s="114">
        <v>166.667</v>
      </c>
      <c r="BK20" s="181">
        <v>166.67</v>
      </c>
      <c r="BL20" s="114">
        <v>3.069229583333335</v>
      </c>
      <c r="BM20" s="114">
        <v>3.11</v>
      </c>
      <c r="BN20" s="181">
        <v>166.667</v>
      </c>
      <c r="BO20" s="114">
        <v>1.6</v>
      </c>
      <c r="BP20" s="114"/>
      <c r="BQ20" s="114"/>
      <c r="BR20" s="114"/>
      <c r="BS20" s="114"/>
      <c r="BT20" s="114"/>
      <c r="BU20" s="114"/>
      <c r="BV20" s="116">
        <f>AH20+AL20+AP20+AT20+AX20+BB20+BF20+BJ20+BN20+BP20+BR20+BT20</f>
        <v>1500.0029999999999</v>
      </c>
      <c r="BW20" s="116">
        <f>AJ20+AN20+AR20+AV20+AZ20+BD20+BH20+BL20+BO20+BQ20+BS20+BU20</f>
        <v>79.328257500000007</v>
      </c>
      <c r="BX20" s="116">
        <f t="shared" si="2"/>
        <v>80.924999999999997</v>
      </c>
      <c r="BY20" s="43">
        <f>BW20</f>
        <v>79.328257500000007</v>
      </c>
      <c r="BZ20" s="36"/>
      <c r="CA20" s="36"/>
    </row>
    <row r="21" spans="1:79" x14ac:dyDescent="0.3">
      <c r="A21" s="117" t="s">
        <v>58</v>
      </c>
      <c r="B21" s="118">
        <v>2000</v>
      </c>
      <c r="C21" s="36" t="s">
        <v>58</v>
      </c>
      <c r="D21" s="37">
        <v>2000</v>
      </c>
      <c r="E21" s="117" t="s">
        <v>62</v>
      </c>
      <c r="F21" s="118">
        <v>0</v>
      </c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>
        <v>111</v>
      </c>
      <c r="V21" s="118">
        <f>'[18]NTB 2Bn'!$K$11</f>
        <v>39.943013698630139</v>
      </c>
      <c r="W21" s="118">
        <v>111</v>
      </c>
      <c r="X21" s="118">
        <f>'[18]NTB 2Bn'!$K$12</f>
        <v>34.395372890967664</v>
      </c>
      <c r="Y21" s="118">
        <v>111</v>
      </c>
      <c r="Z21" s="118">
        <f>'[18]NTB 2Bn'!$K$13</f>
        <v>31.327853849950685</v>
      </c>
      <c r="AA21" s="118">
        <v>111</v>
      </c>
      <c r="AB21" s="118">
        <f>'[18]NTB 2Bn'!$K$14</f>
        <v>30.34885839893041</v>
      </c>
      <c r="AC21" s="118">
        <v>111</v>
      </c>
      <c r="AD21" s="119">
        <f>'[18]NTB 2Bn'!$K$15</f>
        <v>27.411872083463013</v>
      </c>
      <c r="AE21" s="117" t="s">
        <v>60</v>
      </c>
      <c r="AF21" s="120">
        <v>1444.44</v>
      </c>
      <c r="AG21" s="120">
        <v>555.54999999999995</v>
      </c>
      <c r="AH21" s="120">
        <v>111</v>
      </c>
      <c r="AI21" s="120">
        <v>111.11</v>
      </c>
      <c r="AJ21" s="120">
        <v>14.885166666666668</v>
      </c>
      <c r="AK21" s="121">
        <v>16.399999999999999</v>
      </c>
      <c r="AL21" s="120">
        <v>111</v>
      </c>
      <c r="AM21" s="120">
        <v>111.11</v>
      </c>
      <c r="AN21" s="120">
        <v>13.645666666666669</v>
      </c>
      <c r="AO21" s="120">
        <v>14.071</v>
      </c>
      <c r="AP21" s="120">
        <v>111</v>
      </c>
      <c r="AQ21" s="120">
        <v>111.11</v>
      </c>
      <c r="AR21" s="120">
        <v>12.406166666666666</v>
      </c>
      <c r="AS21" s="120">
        <v>13.44</v>
      </c>
      <c r="AT21" s="120">
        <v>111</v>
      </c>
      <c r="AU21" s="120">
        <v>111.11</v>
      </c>
      <c r="AV21" s="120">
        <v>10.5</v>
      </c>
      <c r="AW21" s="120">
        <v>10.647</v>
      </c>
      <c r="AX21" s="120">
        <v>111</v>
      </c>
      <c r="AY21" s="120">
        <v>111.11</v>
      </c>
      <c r="AZ21" s="120">
        <v>9.3345000000000002</v>
      </c>
      <c r="BA21" s="121">
        <v>9.7789999999999999</v>
      </c>
      <c r="BB21" s="120">
        <v>111</v>
      </c>
      <c r="BC21" s="120">
        <v>111</v>
      </c>
      <c r="BD21" s="120">
        <v>7.1640833333333331</v>
      </c>
      <c r="BE21" s="120">
        <v>8.1199999999999992</v>
      </c>
      <c r="BF21" s="120">
        <v>111</v>
      </c>
      <c r="BG21" s="120">
        <v>111</v>
      </c>
      <c r="BH21" s="120">
        <v>6.1419583333333341</v>
      </c>
      <c r="BI21" s="120">
        <v>6.23</v>
      </c>
      <c r="BJ21" s="120">
        <v>111</v>
      </c>
      <c r="BK21" s="120">
        <v>111</v>
      </c>
      <c r="BL21" s="120">
        <v>5.1198333333333332</v>
      </c>
      <c r="BM21" s="120">
        <v>5.1989999999999998</v>
      </c>
      <c r="BN21" s="120">
        <v>111</v>
      </c>
      <c r="BO21" s="120">
        <v>4</v>
      </c>
      <c r="BP21" s="120">
        <v>111</v>
      </c>
      <c r="BQ21" s="120">
        <v>3</v>
      </c>
      <c r="BR21" s="120">
        <v>111</v>
      </c>
      <c r="BS21" s="120">
        <v>2</v>
      </c>
      <c r="BT21" s="120">
        <v>111</v>
      </c>
      <c r="BU21" s="120">
        <v>1</v>
      </c>
      <c r="BV21" s="122">
        <f>AH21+AL21+AP21+AT21+AX21+BB21+BF21+BJ21+BN21+BP21+BR21+BT21</f>
        <v>1332</v>
      </c>
      <c r="BW21" s="122">
        <f>AJ21+AN21+AR21+AV21+AZ21+BD21+BH21+BL21+BO21+BQ21+BS21+BU21</f>
        <v>89.197375000000008</v>
      </c>
      <c r="BX21" s="116">
        <f t="shared" si="2"/>
        <v>93.885999999999996</v>
      </c>
      <c r="BY21" s="36"/>
      <c r="BZ21" s="36"/>
      <c r="CA21" s="43">
        <f>BW21</f>
        <v>89.197375000000008</v>
      </c>
    </row>
    <row r="22" spans="1:79" x14ac:dyDescent="0.3">
      <c r="A22" s="117" t="s">
        <v>58</v>
      </c>
      <c r="B22" s="118">
        <v>3000</v>
      </c>
      <c r="C22" s="36" t="s">
        <v>58</v>
      </c>
      <c r="D22" s="37">
        <v>3000</v>
      </c>
      <c r="E22" s="117" t="s">
        <v>63</v>
      </c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9"/>
      <c r="AE22" s="117" t="s">
        <v>60</v>
      </c>
      <c r="AF22" s="120">
        <v>0</v>
      </c>
      <c r="AG22" s="120">
        <v>2165</v>
      </c>
      <c r="AH22" s="120">
        <v>0</v>
      </c>
      <c r="AI22" s="120"/>
      <c r="AJ22" s="120">
        <v>0</v>
      </c>
      <c r="AK22" s="121"/>
      <c r="AL22" s="120">
        <v>0</v>
      </c>
      <c r="AM22" s="120"/>
      <c r="AN22" s="120">
        <v>0</v>
      </c>
      <c r="AO22" s="120"/>
      <c r="AP22" s="120">
        <v>167</v>
      </c>
      <c r="AQ22" s="120">
        <v>0</v>
      </c>
      <c r="AR22" s="120">
        <v>35.147540983606561</v>
      </c>
      <c r="AS22" s="120">
        <v>34.99</v>
      </c>
      <c r="AT22" s="120">
        <v>167</v>
      </c>
      <c r="AU22" s="120">
        <v>167</v>
      </c>
      <c r="AV22" s="120">
        <v>29.258852459016396</v>
      </c>
      <c r="AW22" s="120">
        <v>30.977</v>
      </c>
      <c r="AX22" s="120">
        <v>167</v>
      </c>
      <c r="AY22" s="120">
        <v>167</v>
      </c>
      <c r="AZ22" s="120">
        <v>28.451901639344264</v>
      </c>
      <c r="BA22" s="121">
        <v>29.78</v>
      </c>
      <c r="BB22" s="120">
        <v>167</v>
      </c>
      <c r="BC22" s="120">
        <v>167</v>
      </c>
      <c r="BD22" s="120">
        <v>22.634385245901637</v>
      </c>
      <c r="BE22" s="120">
        <v>24.13</v>
      </c>
      <c r="BF22" s="120">
        <v>167</v>
      </c>
      <c r="BG22" s="120">
        <v>167</v>
      </c>
      <c r="BH22" s="120">
        <v>21.825863387978139</v>
      </c>
      <c r="BI22" s="120">
        <v>23.26</v>
      </c>
      <c r="BJ22" s="120">
        <v>167</v>
      </c>
      <c r="BK22" s="120">
        <v>167</v>
      </c>
      <c r="BL22" s="120">
        <v>20.262862021857924</v>
      </c>
      <c r="BM22" s="120">
        <v>21.35</v>
      </c>
      <c r="BN22" s="120">
        <v>167</v>
      </c>
      <c r="BO22" s="120">
        <v>17</v>
      </c>
      <c r="BP22" s="120">
        <v>167</v>
      </c>
      <c r="BQ22" s="120">
        <v>16.100000000000001</v>
      </c>
      <c r="BR22" s="120">
        <v>167</v>
      </c>
      <c r="BS22" s="120">
        <v>14.2</v>
      </c>
      <c r="BT22" s="120">
        <v>167</v>
      </c>
      <c r="BU22" s="120">
        <v>13.31</v>
      </c>
      <c r="BV22" s="122">
        <f>AH22+AL22+AP22+AT22+AX22+BB22+BF22+BJ22+BN22+BP22+BR22+BT22</f>
        <v>1670</v>
      </c>
      <c r="BW22" s="122">
        <f>AJ22+AN22+AR22+AV22+AZ22+BD22+BH22+BL22+BO22+BQ22+BS22+BU22</f>
        <v>218.19140573770491</v>
      </c>
      <c r="BX22" s="116">
        <f t="shared" si="2"/>
        <v>225.09699999999998</v>
      </c>
      <c r="BY22" s="36"/>
      <c r="BZ22" s="36"/>
      <c r="CA22" s="43"/>
    </row>
    <row r="23" spans="1:79" x14ac:dyDescent="0.3">
      <c r="A23" s="117" t="s">
        <v>58</v>
      </c>
      <c r="B23" s="118">
        <v>1000</v>
      </c>
      <c r="C23" s="118"/>
      <c r="D23" s="118"/>
      <c r="E23" s="117" t="s">
        <v>113</v>
      </c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9"/>
      <c r="AE23" s="117" t="s">
        <v>60</v>
      </c>
      <c r="AF23" s="141">
        <v>0</v>
      </c>
      <c r="AG23" s="141">
        <v>888</v>
      </c>
      <c r="AH23" s="120">
        <v>0</v>
      </c>
      <c r="AI23" s="120">
        <v>0</v>
      </c>
      <c r="AJ23" s="120">
        <v>0</v>
      </c>
      <c r="AK23" s="120">
        <v>0</v>
      </c>
      <c r="AL23" s="120">
        <v>0</v>
      </c>
      <c r="AM23" s="120">
        <v>0</v>
      </c>
      <c r="AN23" s="120">
        <v>0</v>
      </c>
      <c r="AO23" s="120">
        <v>0</v>
      </c>
      <c r="AP23" s="120">
        <v>0</v>
      </c>
      <c r="AQ23" s="120">
        <v>0</v>
      </c>
      <c r="AR23" s="120">
        <v>0</v>
      </c>
      <c r="AS23" s="120">
        <v>0</v>
      </c>
      <c r="AT23" s="120">
        <v>0</v>
      </c>
      <c r="AU23" s="120">
        <v>0</v>
      </c>
      <c r="AV23" s="120">
        <v>0</v>
      </c>
      <c r="AW23" s="120">
        <v>0</v>
      </c>
      <c r="AX23" s="120">
        <v>0</v>
      </c>
      <c r="AY23" s="120">
        <v>0</v>
      </c>
      <c r="AZ23" s="120">
        <v>0</v>
      </c>
      <c r="BA23" s="120">
        <v>0</v>
      </c>
      <c r="BB23" s="120">
        <v>0</v>
      </c>
      <c r="BC23" s="120">
        <v>56</v>
      </c>
      <c r="BD23" s="120"/>
      <c r="BE23" s="173">
        <v>9.0500000000000007</v>
      </c>
      <c r="BF23" s="120">
        <v>56</v>
      </c>
      <c r="BG23" s="120">
        <v>56</v>
      </c>
      <c r="BH23" s="120">
        <v>9</v>
      </c>
      <c r="BI23" s="173">
        <v>7.98</v>
      </c>
      <c r="BJ23" s="120">
        <v>56</v>
      </c>
      <c r="BK23" s="120">
        <v>56</v>
      </c>
      <c r="BL23" s="120">
        <v>7.7</v>
      </c>
      <c r="BM23" s="173">
        <v>8.3109999999999999</v>
      </c>
      <c r="BN23" s="120">
        <v>56</v>
      </c>
      <c r="BO23" s="173">
        <v>7.2</v>
      </c>
      <c r="BP23" s="120">
        <v>56</v>
      </c>
      <c r="BQ23" s="173">
        <v>7</v>
      </c>
      <c r="BR23" s="120">
        <v>56</v>
      </c>
      <c r="BS23" s="173">
        <v>6.2</v>
      </c>
      <c r="BT23" s="120">
        <v>56</v>
      </c>
      <c r="BU23" s="173">
        <v>6</v>
      </c>
      <c r="BV23" s="122">
        <f>AH23+AL23+AP23+AT23+AX23+BB23+BF23+BJ23+BN23+BP23+BR23+BT23</f>
        <v>336</v>
      </c>
      <c r="BW23" s="122">
        <f>AJ23+AN23+AR23+AV23+AZ23+BE23+BH23+BL23+BO23+BQ23+BS23+BU23</f>
        <v>52.150000000000006</v>
      </c>
      <c r="BX23" s="116">
        <f t="shared" si="2"/>
        <v>51.741000000000007</v>
      </c>
      <c r="BY23" s="36"/>
      <c r="BZ23" s="36"/>
      <c r="CA23" s="43"/>
    </row>
    <row r="24" spans="1:79" x14ac:dyDescent="0.3">
      <c r="A24" s="36"/>
      <c r="B24" s="129"/>
      <c r="C24" s="129"/>
      <c r="D24" s="129"/>
      <c r="E24" s="36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30"/>
      <c r="AE24" s="130"/>
      <c r="AF24" s="131"/>
      <c r="AH24" s="132"/>
      <c r="AI24" s="132"/>
      <c r="AJ24" s="132"/>
      <c r="AK24" s="133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3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16">
        <f t="shared" si="2"/>
        <v>0</v>
      </c>
      <c r="BY24" s="36"/>
      <c r="BZ24" s="36"/>
      <c r="CA24" s="36"/>
    </row>
    <row r="25" spans="1:79" x14ac:dyDescent="0.3">
      <c r="A25" s="123" t="s">
        <v>64</v>
      </c>
      <c r="B25" s="124">
        <v>2000</v>
      </c>
      <c r="C25" s="124" t="s">
        <v>64</v>
      </c>
      <c r="D25" s="124">
        <v>2000</v>
      </c>
      <c r="E25" s="123" t="s">
        <v>65</v>
      </c>
      <c r="F25" s="124">
        <v>1648</v>
      </c>
      <c r="G25" s="124">
        <v>28</v>
      </c>
      <c r="H25" s="124">
        <f>'[18]Seylan 2Bn'!$K$54</f>
        <v>32.995618630136981</v>
      </c>
      <c r="I25" s="124">
        <v>28</v>
      </c>
      <c r="J25" s="124">
        <f>'[18]Seylan 2Bn'!$K$55</f>
        <v>32.444379178082194</v>
      </c>
      <c r="K25" s="124">
        <v>30</v>
      </c>
      <c r="L25" s="124">
        <f>'[18]Seylan 2Bn'!$K$56</f>
        <v>28.806706849315066</v>
      </c>
      <c r="M25" s="124">
        <v>30</v>
      </c>
      <c r="N25" s="124">
        <f>'[18]Seylan 2Bn'!$K$57</f>
        <v>31.30252602739726</v>
      </c>
      <c r="O25" s="124">
        <v>30</v>
      </c>
      <c r="P25" s="124">
        <f>'[18]Seylan 2Bn'!$K$58+'[18]Seylan 2Bn'!K59</f>
        <v>35.369687671232882</v>
      </c>
      <c r="Q25" s="124">
        <v>30</v>
      </c>
      <c r="R25" s="124">
        <f>'[18]Seylan 2Bn'!$K$60</f>
        <v>36.254712328767127</v>
      </c>
      <c r="S25" s="124">
        <v>33</v>
      </c>
      <c r="T25" s="124">
        <f>'[18]Seylan 2Bn'!$K$61</f>
        <v>34.397260273972606</v>
      </c>
      <c r="U25" s="124">
        <v>33</v>
      </c>
      <c r="V25" s="124">
        <f>'[18]Seylan 2Bn'!$K$62</f>
        <v>34.761871232876715</v>
      </c>
      <c r="W25" s="124">
        <v>33</v>
      </c>
      <c r="X25" s="124">
        <f>'[18]Seylan 2Bn'!$K$63</f>
        <v>33.979906849315078</v>
      </c>
      <c r="Y25" s="124">
        <v>33</v>
      </c>
      <c r="Z25" s="124">
        <f>'[18]Seylan 2Bn'!$K$64</f>
        <v>33.197942465753435</v>
      </c>
      <c r="AA25" s="124">
        <v>36</v>
      </c>
      <c r="AB25" s="124">
        <f>'[18]Seylan 2Bn'!$K$65</f>
        <v>26.931984657534247</v>
      </c>
      <c r="AC25" s="124">
        <v>36</v>
      </c>
      <c r="AD25" s="125">
        <f>'[18]Seylan 2Bn'!$K$66</f>
        <v>26.223248219178085</v>
      </c>
      <c r="AE25" s="140" t="s">
        <v>44</v>
      </c>
      <c r="AF25" s="126">
        <v>1296</v>
      </c>
      <c r="AG25" s="126">
        <v>918</v>
      </c>
      <c r="AH25" s="126">
        <v>36</v>
      </c>
      <c r="AI25" s="126">
        <v>36</v>
      </c>
      <c r="AJ25" s="126">
        <v>14.175000000000002</v>
      </c>
      <c r="AK25" s="127">
        <f>10.752*2</f>
        <v>21.504000000000001</v>
      </c>
      <c r="AL25" s="126">
        <v>39</v>
      </c>
      <c r="AM25" s="126">
        <v>36</v>
      </c>
      <c r="AN25" s="126">
        <v>13.770000000000001</v>
      </c>
      <c r="AO25" s="126">
        <v>9.7710000000000008</v>
      </c>
      <c r="AP25" s="126">
        <v>39</v>
      </c>
      <c r="AQ25" s="126">
        <v>39</v>
      </c>
      <c r="AR25" s="126">
        <v>13.331250000000002</v>
      </c>
      <c r="AS25" s="126">
        <v>20.224</v>
      </c>
      <c r="AT25" s="126">
        <v>39</v>
      </c>
      <c r="AU25" s="126">
        <v>39</v>
      </c>
      <c r="AV25" s="126">
        <v>12.128500000000001</v>
      </c>
      <c r="AW25" s="126">
        <v>13.4</v>
      </c>
      <c r="AX25" s="126">
        <v>63</v>
      </c>
      <c r="AY25" s="126">
        <v>63</v>
      </c>
      <c r="AZ25" s="126">
        <v>11.71575</v>
      </c>
      <c r="BA25" s="127">
        <v>12.986000000000001</v>
      </c>
      <c r="BB25" s="126">
        <v>63</v>
      </c>
      <c r="BC25" s="126">
        <v>63</v>
      </c>
      <c r="BD25" s="126">
        <v>9.3381249999999998</v>
      </c>
      <c r="BE25" s="126">
        <v>11.85</v>
      </c>
      <c r="BF25" s="126">
        <v>63</v>
      </c>
      <c r="BG25" s="126">
        <v>63</v>
      </c>
      <c r="BH25" s="126">
        <v>8.3903750000000006</v>
      </c>
      <c r="BI25" s="126">
        <v>11.5</v>
      </c>
      <c r="BJ25" s="126">
        <v>63</v>
      </c>
      <c r="BK25" s="126">
        <v>63</v>
      </c>
      <c r="BL25" s="126">
        <v>7.8049999999999997</v>
      </c>
      <c r="BM25" s="126">
        <v>10.76</v>
      </c>
      <c r="BN25" s="126">
        <v>63</v>
      </c>
      <c r="BO25" s="126">
        <v>10</v>
      </c>
      <c r="BP25" s="126">
        <v>63</v>
      </c>
      <c r="BQ25" s="126">
        <v>7.2</v>
      </c>
      <c r="BR25" s="126">
        <v>63</v>
      </c>
      <c r="BS25" s="126">
        <v>6.6</v>
      </c>
      <c r="BT25" s="126">
        <v>63</v>
      </c>
      <c r="BU25" s="126">
        <v>6</v>
      </c>
      <c r="BV25" s="128">
        <f>AH25+AL25+AP25+AT25+AX25+BB25+BF25+BJ25+BN25+BP25+BR25+BT25</f>
        <v>657</v>
      </c>
      <c r="BW25" s="128">
        <f>AJ25+AN25+AR25+AV25+AZ25+BD25+BH25+BL25+BO25+BQ25+BS25+BU25</f>
        <v>120.45400000000002</v>
      </c>
      <c r="BX25" s="116">
        <f t="shared" si="2"/>
        <v>141.79499999999999</v>
      </c>
      <c r="BY25" s="43">
        <f>BW25/2</f>
        <v>60.227000000000011</v>
      </c>
      <c r="BZ25" s="43">
        <f>BW25/2</f>
        <v>60.227000000000011</v>
      </c>
      <c r="CA25" s="36"/>
    </row>
    <row r="26" spans="1:79" x14ac:dyDescent="0.3">
      <c r="A26" s="117" t="s">
        <v>64</v>
      </c>
      <c r="B26" s="118">
        <v>2000</v>
      </c>
      <c r="C26" s="118" t="s">
        <v>64</v>
      </c>
      <c r="D26" s="118">
        <v>2000</v>
      </c>
      <c r="E26" s="117" t="s">
        <v>66</v>
      </c>
      <c r="F26" s="118">
        <v>0</v>
      </c>
      <c r="G26" s="118"/>
      <c r="H26" s="118"/>
      <c r="I26" s="118"/>
      <c r="J26" s="118"/>
      <c r="K26" s="118"/>
      <c r="L26" s="118"/>
      <c r="M26" s="118">
        <v>0</v>
      </c>
      <c r="N26" s="118">
        <f>'[18]Seylan 2Bn new'!$J$10</f>
        <v>24.880547945205478</v>
      </c>
      <c r="O26" s="118">
        <v>0</v>
      </c>
      <c r="P26" s="118">
        <f>'[18]Seylan 2Bn new'!$J$11</f>
        <v>41.899178082191781</v>
      </c>
      <c r="Q26" s="118">
        <v>0</v>
      </c>
      <c r="R26" s="118">
        <f>'[18]Seylan 2Bn new'!$J$12</f>
        <v>40.90301369863014</v>
      </c>
      <c r="S26" s="118">
        <v>0</v>
      </c>
      <c r="T26" s="118">
        <f>'[18]Seylan 2Bn new'!$J$13</f>
        <v>38.255342465753422</v>
      </c>
      <c r="U26" s="118">
        <v>0</v>
      </c>
      <c r="V26" s="118">
        <f>'[18]Seylan 2Bn new'!$J$14</f>
        <v>38.028493150684923</v>
      </c>
      <c r="W26" s="118">
        <v>0</v>
      </c>
      <c r="X26" s="118">
        <f>'[18]Seylan 2Bn new'!$J$15</f>
        <v>37.437808219178081</v>
      </c>
      <c r="Y26" s="118">
        <v>0</v>
      </c>
      <c r="Z26" s="118">
        <f>'[18]Seylan 2Bn new'!$J$16</f>
        <v>37.437808219178081</v>
      </c>
      <c r="AA26" s="118">
        <v>0</v>
      </c>
      <c r="AB26" s="118">
        <f>'[18]Seylan 2Bn new'!$J$17</f>
        <v>37.437808219178081</v>
      </c>
      <c r="AC26" s="118">
        <v>0</v>
      </c>
      <c r="AD26" s="119">
        <f>'[18]Seylan 2Bn new'!$J$17</f>
        <v>37.437808219178081</v>
      </c>
      <c r="AE26" s="117" t="s">
        <v>50</v>
      </c>
      <c r="AF26" s="120">
        <v>2000</v>
      </c>
      <c r="AG26" s="120">
        <v>1791.66</v>
      </c>
      <c r="AH26" s="120">
        <v>0</v>
      </c>
      <c r="AI26" s="120">
        <v>0</v>
      </c>
      <c r="AJ26" s="120">
        <v>23.333333333333329</v>
      </c>
      <c r="AK26" s="121">
        <v>24.94</v>
      </c>
      <c r="AL26" s="120">
        <v>0</v>
      </c>
      <c r="AM26" s="120">
        <v>0</v>
      </c>
      <c r="AN26" s="120">
        <v>23.333333333333329</v>
      </c>
      <c r="AO26" s="120">
        <v>22.434000000000001</v>
      </c>
      <c r="AP26" s="120">
        <v>0</v>
      </c>
      <c r="AQ26" s="120"/>
      <c r="AR26" s="120">
        <v>23.333333333333329</v>
      </c>
      <c r="AS26" s="120">
        <v>23.289000000000001</v>
      </c>
      <c r="AT26" s="120">
        <v>0</v>
      </c>
      <c r="AU26" s="120">
        <v>41.66</v>
      </c>
      <c r="AV26" s="120">
        <v>22</v>
      </c>
      <c r="AW26" s="120">
        <v>21.402999999999999</v>
      </c>
      <c r="AX26" s="120">
        <v>0</v>
      </c>
      <c r="AY26" s="120">
        <v>41.66</v>
      </c>
      <c r="AZ26" s="120">
        <v>22</v>
      </c>
      <c r="BA26" s="121">
        <v>20.63</v>
      </c>
      <c r="BB26" s="120">
        <v>41.66</v>
      </c>
      <c r="BC26" s="120">
        <v>41.66</v>
      </c>
      <c r="BD26" s="120">
        <v>19.416666666666668</v>
      </c>
      <c r="BE26" s="120">
        <v>18.43</v>
      </c>
      <c r="BF26" s="120">
        <v>41.66</v>
      </c>
      <c r="BG26" s="120">
        <v>41.66</v>
      </c>
      <c r="BH26" s="120">
        <v>19.416666666666668</v>
      </c>
      <c r="BI26" s="120">
        <v>17.600000000000001</v>
      </c>
      <c r="BJ26" s="120">
        <v>41.66</v>
      </c>
      <c r="BK26" s="120">
        <v>41.66</v>
      </c>
      <c r="BL26" s="120">
        <v>19.416666666666668</v>
      </c>
      <c r="BM26" s="120">
        <v>16.722000000000001</v>
      </c>
      <c r="BN26" s="120">
        <v>41.66</v>
      </c>
      <c r="BO26" s="120">
        <v>16.399999999999999</v>
      </c>
      <c r="BP26" s="120">
        <v>41.66</v>
      </c>
      <c r="BQ26" s="120">
        <v>16</v>
      </c>
      <c r="BR26" s="120">
        <v>41.66</v>
      </c>
      <c r="BS26" s="120">
        <v>15.7</v>
      </c>
      <c r="BT26" s="120">
        <v>41.66</v>
      </c>
      <c r="BU26" s="120">
        <v>15.3</v>
      </c>
      <c r="BV26" s="122">
        <f>AH26+AL26+AP26+AT26+AX26+BB26+BF26+BJ26+BN26+BP26+BR26+BT26</f>
        <v>291.62</v>
      </c>
      <c r="BW26" s="122">
        <f>AJ26+AN26+AR26+AV26+AZ26+BD26+BH26+BL26+BO26+BQ26+BS26+BU26</f>
        <v>235.64999999999998</v>
      </c>
      <c r="BX26" s="116">
        <f t="shared" si="2"/>
        <v>228.84800000000001</v>
      </c>
      <c r="BY26" s="36"/>
      <c r="BZ26" s="36"/>
      <c r="CA26" s="43">
        <f>BW26</f>
        <v>235.64999999999998</v>
      </c>
    </row>
    <row r="27" spans="1:79" x14ac:dyDescent="0.3">
      <c r="A27" s="142" t="s">
        <v>19</v>
      </c>
      <c r="B27" s="143"/>
      <c r="C27" s="143"/>
      <c r="D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6"/>
      <c r="AF27" s="145">
        <f>SUM(AF6:AF26)</f>
        <v>85037.17</v>
      </c>
      <c r="AG27" s="145">
        <f>SUM(AG6:AG26)</f>
        <v>73162.37000000001</v>
      </c>
      <c r="AH27" s="145">
        <f>SUM(AH6:AH26)</f>
        <v>2728.6669999999999</v>
      </c>
      <c r="AI27" s="145">
        <f t="shared" ref="AI27:BX27" si="3">SUM(AI6:AI26)</f>
        <v>1680.28</v>
      </c>
      <c r="AJ27" s="145">
        <f t="shared" si="3"/>
        <v>922.43174891552508</v>
      </c>
      <c r="AK27" s="163">
        <f t="shared" si="3"/>
        <v>471.3282999999999</v>
      </c>
      <c r="AL27" s="145">
        <f t="shared" si="3"/>
        <v>2531.6669999999999</v>
      </c>
      <c r="AM27" s="145">
        <f t="shared" si="3"/>
        <v>2907.44</v>
      </c>
      <c r="AN27" s="145">
        <f t="shared" si="3"/>
        <v>877.26139293379026</v>
      </c>
      <c r="AO27" s="163">
        <f t="shared" si="3"/>
        <v>952.31999999999994</v>
      </c>
      <c r="AP27" s="145">
        <f t="shared" si="3"/>
        <v>2713.6669999999999</v>
      </c>
      <c r="AQ27" s="145">
        <f t="shared" si="3"/>
        <v>1409.28</v>
      </c>
      <c r="AR27" s="145">
        <f t="shared" si="3"/>
        <v>879.85965259319562</v>
      </c>
      <c r="AS27" s="163">
        <f t="shared" si="3"/>
        <v>1034.9250000000002</v>
      </c>
      <c r="AT27" s="145">
        <f t="shared" si="3"/>
        <v>2713.6669999999999</v>
      </c>
      <c r="AU27" s="145">
        <f t="shared" si="3"/>
        <v>1602.94</v>
      </c>
      <c r="AV27" s="145">
        <f t="shared" si="3"/>
        <v>674.05507329234979</v>
      </c>
      <c r="AW27" s="163">
        <f t="shared" si="3"/>
        <v>1000.3680000000001</v>
      </c>
      <c r="AX27" s="145">
        <f t="shared" si="3"/>
        <v>2737.6669999999999</v>
      </c>
      <c r="AY27" s="145">
        <f t="shared" si="3"/>
        <v>1641.94</v>
      </c>
      <c r="AZ27" s="145">
        <f t="shared" si="3"/>
        <v>765.37712913934411</v>
      </c>
      <c r="BA27" s="163">
        <f>SUM(BA6:BA26)</f>
        <v>738.49899999999991</v>
      </c>
      <c r="BB27" s="145">
        <f t="shared" si="3"/>
        <v>3379.3269999999998</v>
      </c>
      <c r="BC27" s="145">
        <f t="shared" si="3"/>
        <v>3435.33</v>
      </c>
      <c r="BD27" s="145">
        <f t="shared" si="3"/>
        <v>1083.9253869125685</v>
      </c>
      <c r="BE27" s="163">
        <f>SUM(BE6:BE26)</f>
        <v>1372.1299999999999</v>
      </c>
      <c r="BF27" s="145">
        <f t="shared" si="3"/>
        <v>2935.3269999999998</v>
      </c>
      <c r="BG27" s="145">
        <f t="shared" si="3"/>
        <v>1872.827</v>
      </c>
      <c r="BH27" s="145">
        <f t="shared" si="3"/>
        <v>626.83891213797824</v>
      </c>
      <c r="BI27" s="163">
        <f t="shared" si="3"/>
        <v>868.48500000000001</v>
      </c>
      <c r="BJ27" s="145">
        <f t="shared" si="3"/>
        <v>2973.3269999999998</v>
      </c>
      <c r="BK27" s="145">
        <f t="shared" si="3"/>
        <v>1910.8300000000002</v>
      </c>
      <c r="BL27" s="145">
        <f t="shared" si="3"/>
        <v>599.26303285519123</v>
      </c>
      <c r="BM27" s="163">
        <f>SUM(BM6:BM26)</f>
        <v>673.55200000000013</v>
      </c>
      <c r="BN27" s="145">
        <f t="shared" si="3"/>
        <v>2948.3269999999998</v>
      </c>
      <c r="BO27" s="163">
        <f t="shared" si="3"/>
        <v>673.95368783105039</v>
      </c>
      <c r="BP27" s="145">
        <f t="shared" si="3"/>
        <v>1719.16</v>
      </c>
      <c r="BQ27" s="163">
        <f t="shared" si="3"/>
        <v>466.76827501369866</v>
      </c>
      <c r="BR27" s="145">
        <f t="shared" si="3"/>
        <v>1719.16</v>
      </c>
      <c r="BS27" s="163">
        <f t="shared" si="3"/>
        <v>443.26759878995426</v>
      </c>
      <c r="BT27" s="145">
        <f t="shared" si="3"/>
        <v>3381.66</v>
      </c>
      <c r="BU27" s="163">
        <f t="shared" si="3"/>
        <v>1044.3509956164382</v>
      </c>
      <c r="BV27" s="145">
        <f t="shared" si="3"/>
        <v>32481.623</v>
      </c>
      <c r="BW27" s="145">
        <f t="shared" si="3"/>
        <v>9066.4028860310846</v>
      </c>
      <c r="BX27" s="145">
        <f t="shared" si="3"/>
        <v>9739.9478572511416</v>
      </c>
      <c r="CA27" s="146"/>
    </row>
    <row r="28" spans="1:79" x14ac:dyDescent="0.3">
      <c r="B28" s="143"/>
      <c r="C28" s="143"/>
      <c r="D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6"/>
      <c r="AF28" s="144"/>
      <c r="AG28" s="144"/>
      <c r="AH28" s="144"/>
      <c r="AI28" s="144"/>
      <c r="AJ28" s="144"/>
      <c r="AK28" s="147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7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5"/>
      <c r="BW28" s="145"/>
      <c r="CA28" s="146"/>
    </row>
    <row r="29" spans="1:79" x14ac:dyDescent="0.3">
      <c r="AG29" s="148"/>
      <c r="BV29" s="149"/>
      <c r="BW29" s="149"/>
    </row>
    <row r="30" spans="1:79" x14ac:dyDescent="0.3">
      <c r="A30" s="36" t="s">
        <v>114</v>
      </c>
      <c r="B30" s="129"/>
      <c r="C30" s="129"/>
      <c r="D30" s="129"/>
      <c r="E30" s="36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32"/>
      <c r="AG30" s="132"/>
      <c r="AH30" s="132"/>
      <c r="AI30" s="132"/>
      <c r="AJ30" s="132"/>
      <c r="AK30" s="133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9"/>
      <c r="BW30" s="19"/>
    </row>
    <row r="31" spans="1:79" x14ac:dyDescent="0.3">
      <c r="A31" s="150" t="s">
        <v>64</v>
      </c>
      <c r="B31" s="151">
        <v>2000</v>
      </c>
      <c r="C31" s="151"/>
      <c r="D31" s="151"/>
      <c r="E31" s="150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2" t="s">
        <v>44</v>
      </c>
      <c r="AF31" s="153">
        <v>0</v>
      </c>
      <c r="AG31" s="153">
        <v>0</v>
      </c>
      <c r="AH31" s="153"/>
      <c r="AI31" s="153"/>
      <c r="AJ31" s="153"/>
      <c r="AK31" s="154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>
        <v>0</v>
      </c>
      <c r="BO31" s="153">
        <v>0</v>
      </c>
      <c r="BP31" s="153">
        <v>0</v>
      </c>
      <c r="BQ31" s="153">
        <f>$B$31*10.6%/366*15</f>
        <v>8.6885245901639347</v>
      </c>
      <c r="BR31" s="153">
        <v>0</v>
      </c>
      <c r="BS31" s="153">
        <f>$B$31*10.6%/366*31</f>
        <v>17.956284153005463</v>
      </c>
      <c r="BT31" s="153"/>
      <c r="BU31" s="153">
        <f>$B$31*10.6%/366*30</f>
        <v>17.377049180327869</v>
      </c>
      <c r="BV31" s="155">
        <f>AH31+AL31+AP31+AT31+AX31+BB31+BF31+BJ31+BN31+BP31+BR31+BT31</f>
        <v>0</v>
      </c>
      <c r="BW31" s="155">
        <f>AJ31+AN31+AR31+AV31+AZ31+BD31+BH31+BL31+BO31+BQ31+BS31+BU31</f>
        <v>44.021857923497265</v>
      </c>
    </row>
    <row r="32" spans="1:79" x14ac:dyDescent="0.3">
      <c r="A32" s="150" t="s">
        <v>53</v>
      </c>
      <c r="B32" s="151">
        <v>5000</v>
      </c>
      <c r="C32" s="151"/>
      <c r="D32" s="151"/>
      <c r="E32" s="150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2" t="s">
        <v>50</v>
      </c>
      <c r="AF32" s="153"/>
      <c r="AG32" s="153"/>
      <c r="AH32" s="153"/>
      <c r="AI32" s="153"/>
      <c r="AJ32" s="153"/>
      <c r="AK32" s="154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>
        <v>416.67</v>
      </c>
      <c r="BQ32" s="153">
        <f>$B$32*11.1%/365*15</f>
        <v>22.808219178082194</v>
      </c>
      <c r="BR32" s="153">
        <v>416.67</v>
      </c>
      <c r="BS32" s="153">
        <f>(B32-BP32)*11.1%/12</f>
        <v>42.395802500000002</v>
      </c>
      <c r="BT32" s="153">
        <v>416.67</v>
      </c>
      <c r="BU32" s="153">
        <f>($B$32-(BT32*2))*11.1%/12</f>
        <v>38.541604999999997</v>
      </c>
      <c r="BV32" s="155">
        <f>AH32+AL32+AP32+AT32+AX32+BB32+BF32+BJ32+BN32+BP32+BR32+BT32</f>
        <v>1250.01</v>
      </c>
      <c r="BW32" s="155">
        <f>AJ32+AN32+AR32+AV32+AZ32+BD32+BH32+BL32+BO32+BQ32+BS32+BU32</f>
        <v>103.7456266780822</v>
      </c>
    </row>
    <row r="33" spans="1:79" x14ac:dyDescent="0.3">
      <c r="A33" s="150" t="s">
        <v>53</v>
      </c>
      <c r="B33" s="151">
        <v>5000</v>
      </c>
      <c r="C33" s="151"/>
      <c r="D33" s="151"/>
      <c r="E33" s="150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2" t="s">
        <v>50</v>
      </c>
      <c r="AF33" s="153"/>
      <c r="AG33" s="153"/>
      <c r="AH33" s="153"/>
      <c r="AI33" s="153"/>
      <c r="AJ33" s="153"/>
      <c r="AK33" s="154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>
        <v>83.33</v>
      </c>
      <c r="BQ33" s="153">
        <f>1835*11.1%/365*15</f>
        <v>8.3706164383561639</v>
      </c>
      <c r="BR33" s="153">
        <v>83.33</v>
      </c>
      <c r="BS33" s="153">
        <f>(1835+2623-83.33)*11.1%/12</f>
        <v>40.465697499999997</v>
      </c>
      <c r="BT33" s="153">
        <v>83.33</v>
      </c>
      <c r="BU33" s="153">
        <f>(1835+2623+960-(83.33*2))*11.1%/12</f>
        <v>48.574894999999998</v>
      </c>
      <c r="BV33" s="155">
        <f>AH33+AL33+AP33+AT33+AX33+BB33+BF33+BJ33+BN33+BP33+BR33+BT33</f>
        <v>249.99</v>
      </c>
      <c r="BW33" s="155">
        <f>AJ33+AN33+AR33+AV33+AZ33+BD33+BH33+BL33+BO33+BQ33+BS33+BU33</f>
        <v>97.411208938356168</v>
      </c>
    </row>
    <row r="34" spans="1:79" x14ac:dyDescent="0.3">
      <c r="A34" s="156" t="s">
        <v>115</v>
      </c>
      <c r="B34" s="157">
        <v>30000</v>
      </c>
      <c r="C34" s="157"/>
      <c r="D34" s="157"/>
      <c r="E34" s="156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8" t="s">
        <v>60</v>
      </c>
      <c r="AF34" s="159"/>
      <c r="AG34" s="159"/>
      <c r="AH34" s="159"/>
      <c r="AI34" s="159"/>
      <c r="AJ34" s="159"/>
      <c r="AK34" s="160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>
        <v>500</v>
      </c>
      <c r="BS34" s="159"/>
      <c r="BT34" s="159">
        <v>500</v>
      </c>
      <c r="BU34" s="159"/>
      <c r="BV34" s="161">
        <f>AH34+AL34+AP34+AT34+AX34+BB34+BF34+BJ34+BN34+BP34+BR34+BT34</f>
        <v>1000</v>
      </c>
      <c r="BW34" s="161">
        <f>AJ34+AN34+AR34+AV34+AZ34+BD34+BH34+BL34+BO34+BQ34+BS34+BU34</f>
        <v>0</v>
      </c>
    </row>
    <row r="35" spans="1:79" x14ac:dyDescent="0.3">
      <c r="AK35" s="162"/>
      <c r="BV35" s="149"/>
      <c r="BW35" s="149"/>
    </row>
    <row r="36" spans="1:79" x14ac:dyDescent="0.3">
      <c r="AK36" s="162"/>
      <c r="BV36" s="149"/>
      <c r="BW36" s="149"/>
    </row>
    <row r="37" spans="1:79" x14ac:dyDescent="0.3">
      <c r="A37" s="117" t="s">
        <v>116</v>
      </c>
      <c r="B37" s="118"/>
      <c r="C37" s="118"/>
      <c r="D37" s="118"/>
      <c r="E37" s="117"/>
      <c r="F37" s="118">
        <v>26000</v>
      </c>
      <c r="G37" s="118">
        <v>500</v>
      </c>
      <c r="H37" s="118">
        <v>582</v>
      </c>
      <c r="I37" s="118">
        <v>500</v>
      </c>
      <c r="J37" s="118">
        <v>470</v>
      </c>
      <c r="K37" s="118">
        <v>500</v>
      </c>
      <c r="L37" s="118">
        <v>549</v>
      </c>
      <c r="M37" s="118">
        <v>0</v>
      </c>
      <c r="N37" s="118">
        <v>598</v>
      </c>
      <c r="O37" s="118">
        <v>0</v>
      </c>
      <c r="P37" s="118">
        <v>521</v>
      </c>
      <c r="Q37" s="118">
        <v>500</v>
      </c>
      <c r="R37" s="118">
        <v>508</v>
      </c>
      <c r="S37" s="118">
        <v>750</v>
      </c>
      <c r="T37" s="118">
        <v>405</v>
      </c>
      <c r="U37" s="118">
        <v>750</v>
      </c>
      <c r="V37" s="118">
        <f>22500*0.2/365*31</f>
        <v>382.1917808219178</v>
      </c>
      <c r="W37" s="118">
        <v>750</v>
      </c>
      <c r="X37" s="118">
        <f>19750*0.2/365*31</f>
        <v>335.47945205479454</v>
      </c>
      <c r="Y37" s="118">
        <v>750</v>
      </c>
      <c r="Z37" s="118">
        <f>19000*0.2/365*31</f>
        <v>322.7397260273973</v>
      </c>
      <c r="AA37" s="118">
        <v>500</v>
      </c>
      <c r="AB37" s="118">
        <f>18500*0.2/365*31</f>
        <v>314.24657534246575</v>
      </c>
      <c r="AC37" s="118">
        <v>500</v>
      </c>
      <c r="AD37" s="119">
        <f>18000*0.2/365*31</f>
        <v>305.75342465753425</v>
      </c>
      <c r="AE37" s="119" t="s">
        <v>41</v>
      </c>
      <c r="AF37" s="141">
        <v>12192.895</v>
      </c>
      <c r="AG37" s="141">
        <v>16000</v>
      </c>
      <c r="AH37" s="120">
        <v>500</v>
      </c>
      <c r="AI37" s="120">
        <v>500</v>
      </c>
      <c r="AJ37" s="120">
        <v>297.91666666666669</v>
      </c>
      <c r="AK37" s="173">
        <v>613</v>
      </c>
      <c r="AL37" s="120">
        <v>500</v>
      </c>
      <c r="AM37" s="120">
        <v>500</v>
      </c>
      <c r="AN37" s="120">
        <v>292.5</v>
      </c>
      <c r="AO37" s="173">
        <v>718</v>
      </c>
      <c r="AP37" s="120">
        <v>500</v>
      </c>
      <c r="AQ37" s="120">
        <v>500</v>
      </c>
      <c r="AR37" s="120">
        <v>287.08333333333331</v>
      </c>
      <c r="AS37" s="173">
        <v>492.16</v>
      </c>
      <c r="AT37" s="120">
        <v>500</v>
      </c>
      <c r="AU37" s="120">
        <v>500</v>
      </c>
      <c r="AV37" s="120">
        <v>264.33333333333331</v>
      </c>
      <c r="AW37" s="173">
        <v>259.03699999999998</v>
      </c>
      <c r="AX37" s="120">
        <v>500</v>
      </c>
      <c r="AY37" s="120">
        <v>500</v>
      </c>
      <c r="AZ37" s="120">
        <v>259.25</v>
      </c>
      <c r="BA37" s="173">
        <v>231.00846000000001</v>
      </c>
      <c r="BB37" s="120">
        <v>500</v>
      </c>
      <c r="BC37" s="120">
        <v>500</v>
      </c>
      <c r="BD37" s="120">
        <v>221.875</v>
      </c>
      <c r="BE37" s="173">
        <v>1043.2</v>
      </c>
      <c r="BF37" s="120">
        <v>500</v>
      </c>
      <c r="BG37" s="120">
        <v>500</v>
      </c>
      <c r="BH37" s="120">
        <v>217.4375</v>
      </c>
      <c r="BI37" s="173">
        <v>198.73099999999999</v>
      </c>
      <c r="BJ37" s="120">
        <v>500</v>
      </c>
      <c r="BK37" s="120">
        <v>500</v>
      </c>
      <c r="BL37" s="120">
        <v>213</v>
      </c>
      <c r="BM37" s="173">
        <v>69.628</v>
      </c>
      <c r="BN37" s="120">
        <v>453</v>
      </c>
      <c r="BO37" s="173">
        <v>75</v>
      </c>
      <c r="BP37" s="120">
        <v>446</v>
      </c>
      <c r="BQ37" s="173">
        <v>75</v>
      </c>
      <c r="BR37" s="120">
        <v>354</v>
      </c>
      <c r="BS37" s="173">
        <v>75</v>
      </c>
      <c r="BT37" s="120">
        <v>424</v>
      </c>
      <c r="BU37" s="173">
        <v>75</v>
      </c>
      <c r="BV37" s="122">
        <f>AH37+AL37+AP37+AT37+AX37+BB37+BF37+BJ37+BN37+BP37+BR37+BT37</f>
        <v>5677</v>
      </c>
      <c r="BW37" s="122">
        <f>AJ37+AN37+AR37+AV37+AZ37+BD37+BH37+BL37+BO37+BQ37+BS37+BU37</f>
        <v>2353.395833333333</v>
      </c>
      <c r="BX37" s="108">
        <f t="shared" ref="BX37" si="4">AK37+AO37+AS37+AW37+BA37+BE37+BI37+BM37+BO37+BQ37+BS37+BU37</f>
        <v>3924.7644599999999</v>
      </c>
      <c r="BY37" s="36"/>
      <c r="BZ37" s="36"/>
      <c r="CA37" s="48">
        <f>BW37</f>
        <v>2353.395833333333</v>
      </c>
    </row>
    <row r="38" spans="1:79" x14ac:dyDescent="0.3">
      <c r="BV38" s="149"/>
      <c r="BW38" s="149"/>
    </row>
    <row r="39" spans="1:79" x14ac:dyDescent="0.3">
      <c r="BV39" s="149"/>
      <c r="BW39" s="149"/>
    </row>
    <row r="40" spans="1:79" x14ac:dyDescent="0.3">
      <c r="A40" s="14" t="s">
        <v>68</v>
      </c>
      <c r="BV40" s="149"/>
      <c r="BW40" s="149"/>
    </row>
    <row r="41" spans="1:79" x14ac:dyDescent="0.3">
      <c r="A41" s="16" t="s">
        <v>117</v>
      </c>
      <c r="BV41" s="149"/>
      <c r="BW41" s="149"/>
    </row>
    <row r="42" spans="1:79" x14ac:dyDescent="0.3">
      <c r="BV42" s="149"/>
      <c r="BW42" s="149"/>
    </row>
    <row r="43" spans="1:79" x14ac:dyDescent="0.3">
      <c r="AG43" s="108" t="s">
        <v>85</v>
      </c>
      <c r="AH43" s="108" t="s">
        <v>86</v>
      </c>
      <c r="AI43" s="108" t="s">
        <v>119</v>
      </c>
      <c r="AJ43" s="108" t="s">
        <v>23</v>
      </c>
      <c r="AK43" s="108" t="s">
        <v>24</v>
      </c>
      <c r="AL43" s="108" t="s">
        <v>25</v>
      </c>
      <c r="AM43" s="108" t="s">
        <v>1</v>
      </c>
      <c r="AN43" s="108" t="s">
        <v>2</v>
      </c>
      <c r="AO43" s="108" t="s">
        <v>120</v>
      </c>
      <c r="AP43" s="108" t="s">
        <v>121</v>
      </c>
      <c r="AQ43" s="108" t="s">
        <v>122</v>
      </c>
      <c r="AR43" s="108" t="s">
        <v>123</v>
      </c>
    </row>
    <row r="44" spans="1:79" x14ac:dyDescent="0.3">
      <c r="A44" s="16" t="s">
        <v>118</v>
      </c>
      <c r="AG44" s="108">
        <v>613</v>
      </c>
      <c r="AH44" s="108">
        <v>718</v>
      </c>
      <c r="AI44" s="108">
        <v>492.16</v>
      </c>
      <c r="AJ44" s="108">
        <v>259.03699999999998</v>
      </c>
      <c r="AK44" s="108">
        <v>231.00846000000001</v>
      </c>
      <c r="AL44" s="108">
        <v>1043.2</v>
      </c>
      <c r="AM44" s="108">
        <v>198.73099999999999</v>
      </c>
      <c r="AN44" s="108">
        <v>69.628</v>
      </c>
      <c r="AO44" s="108">
        <v>75</v>
      </c>
      <c r="AP44" s="108">
        <v>75</v>
      </c>
      <c r="AQ44" s="108">
        <v>75</v>
      </c>
      <c r="AR44" s="108">
        <v>75</v>
      </c>
      <c r="AS44" s="108">
        <f>SUM(AG44:AR44)</f>
        <v>3924.7644599999999</v>
      </c>
    </row>
  </sheetData>
  <mergeCells count="34">
    <mergeCell ref="A2:AD2"/>
    <mergeCell ref="AH2:BU2"/>
    <mergeCell ref="BY2:CA2"/>
    <mergeCell ref="A3:A5"/>
    <mergeCell ref="B3:B5"/>
    <mergeCell ref="E3:E5"/>
    <mergeCell ref="F3:F5"/>
    <mergeCell ref="G3:H3"/>
    <mergeCell ref="I3:J3"/>
    <mergeCell ref="K3:L3"/>
    <mergeCell ref="AG3:AG5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E5"/>
    <mergeCell ref="AF3:AF5"/>
    <mergeCell ref="BT3:BU3"/>
    <mergeCell ref="AH3:AK3"/>
    <mergeCell ref="AL3:AO3"/>
    <mergeCell ref="AP3:AS3"/>
    <mergeCell ref="AT3:AW3"/>
    <mergeCell ref="AX3:BA3"/>
    <mergeCell ref="BB3:BE3"/>
    <mergeCell ref="BF3:BI3"/>
    <mergeCell ref="BJ3:BM3"/>
    <mergeCell ref="BN3:BO3"/>
    <mergeCell ref="BP3:BQ3"/>
    <mergeCell ref="BR3:BS3"/>
  </mergeCells>
  <pageMargins left="0.7" right="0.7" top="0.75" bottom="0.75" header="0.3" footer="0.3"/>
  <pageSetup paperSize="9" orientation="landscape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88F50-1FE3-4F93-B4F3-C3027499E3BF}">
  <sheetPr>
    <tabColor theme="4"/>
  </sheetPr>
  <dimension ref="A1:BZ42"/>
  <sheetViews>
    <sheetView zoomScaleNormal="100" workbookViewId="0">
      <pane xSplit="28" ySplit="5" topLeftCell="BD21" activePane="bottomRight" state="frozen"/>
      <selection pane="topRight" activeCell="AC1" sqref="AC1"/>
      <selection pane="bottomLeft" activeCell="A6" sqref="A6"/>
      <selection pane="bottomRight" activeCell="AE42" sqref="AE42:AP42"/>
    </sheetView>
  </sheetViews>
  <sheetFormatPr defaultColWidth="9.1796875" defaultRowHeight="14" x14ac:dyDescent="0.3"/>
  <cols>
    <col min="1" max="1" width="20.7265625" style="16" customWidth="1"/>
    <col min="2" max="2" width="10.7265625" style="15" bestFit="1" customWidth="1"/>
    <col min="3" max="3" width="12.7265625" style="16" customWidth="1"/>
    <col min="4" max="4" width="15.453125" style="15" hidden="1" customWidth="1"/>
    <col min="5" max="5" width="9.26953125" style="15" hidden="1" customWidth="1"/>
    <col min="6" max="6" width="15.453125" style="15" hidden="1" customWidth="1"/>
    <col min="7" max="10" width="9.26953125" style="15" hidden="1" customWidth="1"/>
    <col min="11" max="13" width="9.54296875" style="15" hidden="1" customWidth="1"/>
    <col min="14" max="14" width="9.26953125" style="15" hidden="1" customWidth="1"/>
    <col min="15" max="15" width="9.54296875" style="15" hidden="1" customWidth="1"/>
    <col min="16" max="16" width="11.7265625" style="15" hidden="1" customWidth="1"/>
    <col min="17" max="17" width="9.54296875" style="15" hidden="1" customWidth="1"/>
    <col min="18" max="18" width="9.26953125" style="15" hidden="1" customWidth="1"/>
    <col min="19" max="19" width="9.54296875" style="15" hidden="1" customWidth="1"/>
    <col min="20" max="20" width="10.7265625" style="15" hidden="1" customWidth="1"/>
    <col min="21" max="21" width="9.54296875" style="15" hidden="1" customWidth="1"/>
    <col min="22" max="22" width="9.26953125" style="15" hidden="1" customWidth="1"/>
    <col min="23" max="23" width="9.54296875" style="15" hidden="1" customWidth="1"/>
    <col min="24" max="24" width="9.26953125" style="15" hidden="1" customWidth="1"/>
    <col min="25" max="25" width="9.54296875" style="15" hidden="1" customWidth="1"/>
    <col min="26" max="26" width="9.26953125" style="15" hidden="1" customWidth="1"/>
    <col min="27" max="27" width="9.54296875" style="15" hidden="1" customWidth="1"/>
    <col min="28" max="28" width="9.26953125" style="15" hidden="1" customWidth="1"/>
    <col min="29" max="29" width="15.54296875" style="15" customWidth="1"/>
    <col min="30" max="31" width="15.54296875" style="108" customWidth="1"/>
    <col min="32" max="32" width="13.81640625" style="108" customWidth="1"/>
    <col min="33" max="33" width="12" style="108" customWidth="1"/>
    <col min="34" max="34" width="10.1796875" style="108" customWidth="1"/>
    <col min="35" max="35" width="11" style="108" customWidth="1"/>
    <col min="36" max="36" width="10.453125" style="108" bestFit="1" customWidth="1"/>
    <col min="37" max="37" width="10.453125" style="108" customWidth="1"/>
    <col min="38" max="38" width="9.7265625" style="108" bestFit="1" customWidth="1"/>
    <col min="39" max="39" width="9.7265625" style="108" customWidth="1"/>
    <col min="40" max="40" width="10.453125" style="108" bestFit="1" customWidth="1"/>
    <col min="41" max="41" width="10.453125" style="108" customWidth="1"/>
    <col min="42" max="43" width="11.1796875" style="108" customWidth="1"/>
    <col min="44" max="44" width="10.453125" style="108" bestFit="1" customWidth="1"/>
    <col min="45" max="45" width="10.453125" style="108" customWidth="1"/>
    <col min="46" max="47" width="11.1796875" style="108" customWidth="1"/>
    <col min="48" max="71" width="11.54296875" style="108" customWidth="1"/>
    <col min="72" max="72" width="16.453125" style="108" customWidth="1"/>
    <col min="73" max="73" width="14.453125" style="108" customWidth="1"/>
    <col min="74" max="74" width="3.1796875" style="16" customWidth="1"/>
    <col min="75" max="75" width="14.81640625" style="16" hidden="1" customWidth="1"/>
    <col min="76" max="76" width="14.1796875" style="16" hidden="1" customWidth="1"/>
    <col min="77" max="77" width="15.81640625" style="16" hidden="1" customWidth="1"/>
    <col min="78" max="78" width="12" style="16" bestFit="1" customWidth="1"/>
    <col min="79" max="16384" width="9.1796875" style="16"/>
  </cols>
  <sheetData>
    <row r="1" spans="1:78" x14ac:dyDescent="0.3">
      <c r="A1" s="14" t="s">
        <v>107</v>
      </c>
      <c r="AI1" s="108">
        <f>AI8+AI10+AY10+BK10</f>
        <v>993.88699999999994</v>
      </c>
      <c r="AQ1" s="108">
        <f>22.206+19.223</f>
        <v>41.429000000000002</v>
      </c>
      <c r="BY1" s="14" t="s">
        <v>26</v>
      </c>
    </row>
    <row r="2" spans="1:78" x14ac:dyDescent="0.3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17"/>
      <c r="AD2" s="109"/>
      <c r="AE2" s="109" t="s">
        <v>108</v>
      </c>
      <c r="AF2" s="425" t="s">
        <v>109</v>
      </c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425"/>
      <c r="AT2" s="425"/>
      <c r="AU2" s="425"/>
      <c r="AV2" s="425"/>
      <c r="AW2" s="425"/>
      <c r="AX2" s="425"/>
      <c r="AY2" s="425"/>
      <c r="AZ2" s="425"/>
      <c r="BA2" s="425"/>
      <c r="BB2" s="425"/>
      <c r="BC2" s="425"/>
      <c r="BD2" s="425"/>
      <c r="BE2" s="425"/>
      <c r="BF2" s="425"/>
      <c r="BG2" s="425"/>
      <c r="BH2" s="425"/>
      <c r="BI2" s="425"/>
      <c r="BJ2" s="425"/>
      <c r="BK2" s="425"/>
      <c r="BL2" s="425"/>
      <c r="BM2" s="425"/>
      <c r="BN2" s="425"/>
      <c r="BO2" s="425"/>
      <c r="BP2" s="425"/>
      <c r="BQ2" s="425"/>
      <c r="BR2" s="425"/>
      <c r="BS2" s="425"/>
      <c r="BW2" s="382" t="s">
        <v>27</v>
      </c>
      <c r="BX2" s="382"/>
      <c r="BY2" s="382"/>
    </row>
    <row r="3" spans="1:78" ht="20.25" customHeight="1" x14ac:dyDescent="0.3">
      <c r="A3" s="383" t="s">
        <v>28</v>
      </c>
      <c r="B3" s="384" t="s">
        <v>29</v>
      </c>
      <c r="C3" s="385" t="s">
        <v>30</v>
      </c>
      <c r="D3" s="386" t="s">
        <v>31</v>
      </c>
      <c r="E3" s="380" t="s">
        <v>20</v>
      </c>
      <c r="F3" s="380"/>
      <c r="G3" s="380" t="s">
        <v>21</v>
      </c>
      <c r="H3" s="380"/>
      <c r="I3" s="380" t="s">
        <v>22</v>
      </c>
      <c r="J3" s="380"/>
      <c r="K3" s="380" t="s">
        <v>23</v>
      </c>
      <c r="L3" s="380"/>
      <c r="M3" s="380" t="s">
        <v>24</v>
      </c>
      <c r="N3" s="380"/>
      <c r="O3" s="380" t="s">
        <v>25</v>
      </c>
      <c r="P3" s="380"/>
      <c r="Q3" s="380" t="s">
        <v>1</v>
      </c>
      <c r="R3" s="380"/>
      <c r="S3" s="380" t="s">
        <v>2</v>
      </c>
      <c r="T3" s="380"/>
      <c r="U3" s="380" t="s">
        <v>3</v>
      </c>
      <c r="V3" s="380"/>
      <c r="W3" s="380" t="s">
        <v>4</v>
      </c>
      <c r="X3" s="380"/>
      <c r="Y3" s="380" t="s">
        <v>5</v>
      </c>
      <c r="Z3" s="380"/>
      <c r="AA3" s="380" t="s">
        <v>6</v>
      </c>
      <c r="AB3" s="380"/>
      <c r="AC3" s="387" t="s">
        <v>32</v>
      </c>
      <c r="AD3" s="418" t="s">
        <v>33</v>
      </c>
      <c r="AE3" s="418" t="s">
        <v>110</v>
      </c>
      <c r="AF3" s="422" t="s">
        <v>20</v>
      </c>
      <c r="AG3" s="423"/>
      <c r="AH3" s="423"/>
      <c r="AI3" s="424"/>
      <c r="AJ3" s="422" t="s">
        <v>21</v>
      </c>
      <c r="AK3" s="423"/>
      <c r="AL3" s="423"/>
      <c r="AM3" s="424"/>
      <c r="AN3" s="422" t="s">
        <v>22</v>
      </c>
      <c r="AO3" s="423"/>
      <c r="AP3" s="423"/>
      <c r="AQ3" s="424"/>
      <c r="AR3" s="422" t="s">
        <v>23</v>
      </c>
      <c r="AS3" s="423"/>
      <c r="AT3" s="423"/>
      <c r="AU3" s="424"/>
      <c r="AV3" s="422" t="s">
        <v>24</v>
      </c>
      <c r="AW3" s="423"/>
      <c r="AX3" s="423"/>
      <c r="AY3" s="423"/>
      <c r="AZ3" s="421" t="s">
        <v>25</v>
      </c>
      <c r="BA3" s="421"/>
      <c r="BB3" s="421"/>
      <c r="BC3" s="421"/>
      <c r="BD3" s="422" t="s">
        <v>1</v>
      </c>
      <c r="BE3" s="423"/>
      <c r="BF3" s="423"/>
      <c r="BG3" s="424"/>
      <c r="BH3" s="422" t="s">
        <v>2</v>
      </c>
      <c r="BI3" s="423"/>
      <c r="BJ3" s="423"/>
      <c r="BK3" s="424"/>
      <c r="BL3" s="421" t="s">
        <v>3</v>
      </c>
      <c r="BM3" s="421"/>
      <c r="BN3" s="421" t="s">
        <v>4</v>
      </c>
      <c r="BO3" s="421"/>
      <c r="BP3" s="421" t="s">
        <v>5</v>
      </c>
      <c r="BQ3" s="421"/>
      <c r="BR3" s="421" t="s">
        <v>6</v>
      </c>
      <c r="BS3" s="421"/>
      <c r="BT3" s="19" t="s">
        <v>111</v>
      </c>
      <c r="BU3" s="19" t="s">
        <v>112</v>
      </c>
      <c r="BW3" s="20" t="s">
        <v>34</v>
      </c>
      <c r="BX3" s="20" t="s">
        <v>35</v>
      </c>
      <c r="BY3" s="20" t="s">
        <v>36</v>
      </c>
    </row>
    <row r="4" spans="1:78" x14ac:dyDescent="0.3">
      <c r="A4" s="383"/>
      <c r="B4" s="384"/>
      <c r="C4" s="385"/>
      <c r="D4" s="386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388"/>
      <c r="AD4" s="419"/>
      <c r="AE4" s="419"/>
      <c r="AF4" s="110" t="s">
        <v>10</v>
      </c>
      <c r="AG4" s="110" t="s">
        <v>11</v>
      </c>
      <c r="AH4" s="110" t="s">
        <v>10</v>
      </c>
      <c r="AI4" s="110" t="s">
        <v>11</v>
      </c>
      <c r="AJ4" s="110" t="s">
        <v>10</v>
      </c>
      <c r="AK4" s="110" t="s">
        <v>11</v>
      </c>
      <c r="AL4" s="110" t="s">
        <v>10</v>
      </c>
      <c r="AM4" s="110" t="s">
        <v>11</v>
      </c>
      <c r="AN4" s="110" t="s">
        <v>10</v>
      </c>
      <c r="AO4" s="110" t="s">
        <v>11</v>
      </c>
      <c r="AP4" s="110" t="s">
        <v>10</v>
      </c>
      <c r="AQ4" s="110" t="s">
        <v>11</v>
      </c>
      <c r="AR4" s="110" t="s">
        <v>10</v>
      </c>
      <c r="AS4" s="110" t="s">
        <v>11</v>
      </c>
      <c r="AT4" s="110" t="s">
        <v>10</v>
      </c>
      <c r="AU4" s="110" t="s">
        <v>11</v>
      </c>
      <c r="AV4" s="110" t="s">
        <v>10</v>
      </c>
      <c r="AW4" s="110" t="s">
        <v>11</v>
      </c>
      <c r="AX4" s="110" t="s">
        <v>10</v>
      </c>
      <c r="AY4" s="110" t="s">
        <v>11</v>
      </c>
      <c r="AZ4" s="110" t="s">
        <v>10</v>
      </c>
      <c r="BA4" s="110" t="s">
        <v>11</v>
      </c>
      <c r="BB4" s="110" t="s">
        <v>10</v>
      </c>
      <c r="BC4" s="110" t="s">
        <v>11</v>
      </c>
      <c r="BD4" s="110" t="s">
        <v>10</v>
      </c>
      <c r="BE4" s="110" t="s">
        <v>11</v>
      </c>
      <c r="BF4" s="110" t="s">
        <v>10</v>
      </c>
      <c r="BG4" s="110" t="s">
        <v>11</v>
      </c>
      <c r="BH4" s="110" t="s">
        <v>10</v>
      </c>
      <c r="BI4" s="110" t="s">
        <v>11</v>
      </c>
      <c r="BJ4" s="110" t="s">
        <v>10</v>
      </c>
      <c r="BK4" s="110" t="s">
        <v>11</v>
      </c>
      <c r="BL4" s="110" t="s">
        <v>10</v>
      </c>
      <c r="BM4" s="110" t="s">
        <v>10</v>
      </c>
      <c r="BN4" s="110" t="s">
        <v>10</v>
      </c>
      <c r="BO4" s="110" t="s">
        <v>10</v>
      </c>
      <c r="BP4" s="110" t="s">
        <v>10</v>
      </c>
      <c r="BQ4" s="110" t="s">
        <v>10</v>
      </c>
      <c r="BR4" s="110" t="s">
        <v>10</v>
      </c>
      <c r="BS4" s="110" t="s">
        <v>10</v>
      </c>
      <c r="BT4" s="19"/>
      <c r="BU4" s="19"/>
      <c r="BW4" s="20"/>
      <c r="BX4" s="20"/>
      <c r="BY4" s="20"/>
    </row>
    <row r="5" spans="1:78" x14ac:dyDescent="0.3">
      <c r="A5" s="383"/>
      <c r="B5" s="384"/>
      <c r="C5" s="385"/>
      <c r="D5" s="386"/>
      <c r="E5" s="21" t="s">
        <v>37</v>
      </c>
      <c r="F5" s="21" t="s">
        <v>38</v>
      </c>
      <c r="G5" s="21" t="s">
        <v>37</v>
      </c>
      <c r="H5" s="21" t="s">
        <v>38</v>
      </c>
      <c r="I5" s="21" t="s">
        <v>37</v>
      </c>
      <c r="J5" s="21" t="s">
        <v>38</v>
      </c>
      <c r="K5" s="21" t="s">
        <v>37</v>
      </c>
      <c r="L5" s="21" t="s">
        <v>38</v>
      </c>
      <c r="M5" s="21" t="s">
        <v>37</v>
      </c>
      <c r="N5" s="21" t="s">
        <v>38</v>
      </c>
      <c r="O5" s="21" t="s">
        <v>37</v>
      </c>
      <c r="P5" s="21" t="s">
        <v>38</v>
      </c>
      <c r="Q5" s="21" t="s">
        <v>37</v>
      </c>
      <c r="R5" s="21" t="s">
        <v>38</v>
      </c>
      <c r="S5" s="21" t="s">
        <v>37</v>
      </c>
      <c r="T5" s="21" t="s">
        <v>38</v>
      </c>
      <c r="U5" s="21" t="s">
        <v>37</v>
      </c>
      <c r="V5" s="21" t="s">
        <v>38</v>
      </c>
      <c r="W5" s="21" t="s">
        <v>37</v>
      </c>
      <c r="X5" s="21" t="s">
        <v>38</v>
      </c>
      <c r="Y5" s="21" t="s">
        <v>37</v>
      </c>
      <c r="Z5" s="21" t="s">
        <v>38</v>
      </c>
      <c r="AA5" s="21" t="s">
        <v>37</v>
      </c>
      <c r="AB5" s="21" t="s">
        <v>38</v>
      </c>
      <c r="AC5" s="389"/>
      <c r="AD5" s="420"/>
      <c r="AE5" s="420"/>
      <c r="AF5" s="19" t="s">
        <v>37</v>
      </c>
      <c r="AG5" s="19" t="s">
        <v>37</v>
      </c>
      <c r="AH5" s="19" t="s">
        <v>38</v>
      </c>
      <c r="AI5" s="19" t="s">
        <v>38</v>
      </c>
      <c r="AJ5" s="19" t="s">
        <v>37</v>
      </c>
      <c r="AK5" s="19" t="s">
        <v>37</v>
      </c>
      <c r="AL5" s="19" t="s">
        <v>38</v>
      </c>
      <c r="AM5" s="19" t="s">
        <v>38</v>
      </c>
      <c r="AN5" s="19" t="s">
        <v>37</v>
      </c>
      <c r="AO5" s="19" t="s">
        <v>37</v>
      </c>
      <c r="AP5" s="19" t="s">
        <v>38</v>
      </c>
      <c r="AQ5" s="19" t="s">
        <v>38</v>
      </c>
      <c r="AR5" s="19" t="s">
        <v>37</v>
      </c>
      <c r="AS5" s="19" t="s">
        <v>37</v>
      </c>
      <c r="AT5" s="19" t="s">
        <v>38</v>
      </c>
      <c r="AU5" s="19" t="s">
        <v>38</v>
      </c>
      <c r="AV5" s="19" t="s">
        <v>37</v>
      </c>
      <c r="AW5" s="19" t="s">
        <v>37</v>
      </c>
      <c r="AX5" s="19" t="s">
        <v>38</v>
      </c>
      <c r="AY5" s="19" t="s">
        <v>38</v>
      </c>
      <c r="AZ5" s="19" t="s">
        <v>37</v>
      </c>
      <c r="BA5" s="19" t="s">
        <v>37</v>
      </c>
      <c r="BB5" s="19" t="s">
        <v>38</v>
      </c>
      <c r="BC5" s="19" t="s">
        <v>38</v>
      </c>
      <c r="BD5" s="19" t="s">
        <v>37</v>
      </c>
      <c r="BE5" s="19" t="s">
        <v>37</v>
      </c>
      <c r="BF5" s="19" t="s">
        <v>38</v>
      </c>
      <c r="BG5" s="19" t="s">
        <v>38</v>
      </c>
      <c r="BH5" s="19" t="s">
        <v>37</v>
      </c>
      <c r="BI5" s="19" t="s">
        <v>37</v>
      </c>
      <c r="BJ5" s="19" t="s">
        <v>38</v>
      </c>
      <c r="BK5" s="19" t="s">
        <v>38</v>
      </c>
      <c r="BL5" s="19" t="s">
        <v>37</v>
      </c>
      <c r="BM5" s="19" t="s">
        <v>38</v>
      </c>
      <c r="BN5" s="19" t="s">
        <v>37</v>
      </c>
      <c r="BO5" s="19" t="s">
        <v>38</v>
      </c>
      <c r="BP5" s="19" t="s">
        <v>37</v>
      </c>
      <c r="BQ5" s="19" t="s">
        <v>38</v>
      </c>
      <c r="BR5" s="19" t="s">
        <v>37</v>
      </c>
      <c r="BS5" s="19" t="s">
        <v>38</v>
      </c>
      <c r="BT5" s="19" t="s">
        <v>37</v>
      </c>
      <c r="BU5" s="19" t="s">
        <v>38</v>
      </c>
      <c r="BW5" s="19" t="s">
        <v>38</v>
      </c>
      <c r="BX5" s="19" t="s">
        <v>38</v>
      </c>
      <c r="BY5" s="19" t="s">
        <v>38</v>
      </c>
    </row>
    <row r="6" spans="1:78" x14ac:dyDescent="0.3">
      <c r="A6" s="111" t="s">
        <v>39</v>
      </c>
      <c r="B6" s="112">
        <v>10000</v>
      </c>
      <c r="C6" s="111" t="s">
        <v>40</v>
      </c>
      <c r="D6" s="112">
        <v>1880</v>
      </c>
      <c r="E6" s="112"/>
      <c r="F6" s="112">
        <v>0</v>
      </c>
      <c r="G6" s="112"/>
      <c r="H6" s="112">
        <v>47</v>
      </c>
      <c r="I6" s="112"/>
      <c r="J6" s="112">
        <v>95</v>
      </c>
      <c r="K6" s="112"/>
      <c r="L6" s="112">
        <v>43</v>
      </c>
      <c r="M6" s="112"/>
      <c r="N6" s="112">
        <v>75</v>
      </c>
      <c r="O6" s="112"/>
      <c r="P6" s="112">
        <v>36</v>
      </c>
      <c r="Q6" s="112"/>
      <c r="R6" s="112">
        <v>35</v>
      </c>
      <c r="S6" s="112"/>
      <c r="T6" s="112"/>
      <c r="U6" s="112"/>
      <c r="V6" s="112"/>
      <c r="W6" s="112"/>
      <c r="X6" s="112"/>
      <c r="Y6" s="112"/>
      <c r="Z6" s="112"/>
      <c r="AA6" s="112">
        <v>140</v>
      </c>
      <c r="AB6" s="113"/>
      <c r="AC6" s="111" t="s">
        <v>41</v>
      </c>
      <c r="AD6" s="114">
        <v>1740</v>
      </c>
      <c r="AE6" s="114">
        <v>620</v>
      </c>
      <c r="AF6" s="114">
        <v>140</v>
      </c>
      <c r="AG6" s="114">
        <v>140</v>
      </c>
      <c r="AH6" s="114">
        <v>18.850000000000001</v>
      </c>
      <c r="AI6" s="115">
        <v>24.024999999999999</v>
      </c>
      <c r="AJ6" s="114">
        <v>140</v>
      </c>
      <c r="AK6" s="114">
        <v>140</v>
      </c>
      <c r="AL6" s="114">
        <v>17.333333333333332</v>
      </c>
      <c r="AM6" s="114">
        <v>22.206</v>
      </c>
      <c r="AN6" s="114">
        <v>140</v>
      </c>
      <c r="AO6" s="114">
        <v>140</v>
      </c>
      <c r="AP6" s="114">
        <v>15.816666666666668</v>
      </c>
      <c r="AQ6" s="115">
        <v>19.222999999999999</v>
      </c>
      <c r="AR6" s="114">
        <v>140</v>
      </c>
      <c r="AS6" s="114">
        <v>140</v>
      </c>
      <c r="AT6" s="114">
        <v>13.42</v>
      </c>
      <c r="AU6" s="114">
        <v>18.466999999999999</v>
      </c>
      <c r="AV6" s="114">
        <v>140</v>
      </c>
      <c r="AW6" s="114">
        <v>140</v>
      </c>
      <c r="AX6" s="114">
        <v>11.996666666666668</v>
      </c>
      <c r="AY6" s="115">
        <v>15.884</v>
      </c>
      <c r="AZ6" s="114">
        <v>140</v>
      </c>
      <c r="BA6" s="114">
        <v>140</v>
      </c>
      <c r="BB6" s="114">
        <v>9.2299999999999986</v>
      </c>
      <c r="BC6" s="114">
        <v>14.79</v>
      </c>
      <c r="BD6" s="114">
        <v>140</v>
      </c>
      <c r="BE6" s="114">
        <v>140</v>
      </c>
      <c r="BF6" s="114">
        <v>7.9874999999999998</v>
      </c>
      <c r="BG6" s="114">
        <v>12.02</v>
      </c>
      <c r="BH6" s="114">
        <v>140</v>
      </c>
      <c r="BI6" s="114">
        <v>140</v>
      </c>
      <c r="BJ6" s="114">
        <v>6.7450000000000001</v>
      </c>
      <c r="BK6" s="114">
        <v>10.489000000000001</v>
      </c>
      <c r="BL6" s="114">
        <v>140</v>
      </c>
      <c r="BM6" s="114">
        <f>AE6*10.1%/12</f>
        <v>5.2183333333333328</v>
      </c>
      <c r="BN6" s="114">
        <v>140</v>
      </c>
      <c r="BO6" s="114">
        <f>(AE6-BL6)*10.1%/365*31</f>
        <v>4.1174794520547939</v>
      </c>
      <c r="BP6" s="114">
        <v>140</v>
      </c>
      <c r="BQ6" s="114">
        <f>(AE6-(BP6*2))*10.1%/360*30</f>
        <v>2.8616666666666664</v>
      </c>
      <c r="BR6" s="114">
        <v>140</v>
      </c>
      <c r="BS6" s="114">
        <f>(AE6-(BP6*3))*0.101/365*31</f>
        <v>1.7156164383561645</v>
      </c>
      <c r="BT6" s="116">
        <f>AF6+AJ6+AN6+AR6+AV6+AZ6+BD6+BH6+BL6+BN6+BP6+BR6</f>
        <v>1680</v>
      </c>
      <c r="BU6" s="116">
        <f t="shared" ref="BU6:BU17" si="0">AH6+AL6+AP6+AT6+AX6+BB6+BF6+BJ6+BM6+BO6+BQ6+BS6</f>
        <v>115.29226255707763</v>
      </c>
      <c r="BW6" s="43">
        <f>BU6</f>
        <v>115.29226255707763</v>
      </c>
      <c r="BX6" s="36">
        <v>0</v>
      </c>
      <c r="BY6" s="36">
        <v>0</v>
      </c>
      <c r="BZ6" s="146">
        <f>AI6+AM6+AQ6+AU6+AY6+BC6+BG6+BK6+BM6+BO6+BQ6+BS6</f>
        <v>151.01709589041096</v>
      </c>
    </row>
    <row r="7" spans="1:78" x14ac:dyDescent="0.3">
      <c r="A7" s="117" t="s">
        <v>39</v>
      </c>
      <c r="B7" s="118">
        <v>6200</v>
      </c>
      <c r="C7" s="117" t="s">
        <v>42</v>
      </c>
      <c r="D7" s="118">
        <v>1328</v>
      </c>
      <c r="E7" s="118"/>
      <c r="F7" s="118"/>
      <c r="G7" s="118"/>
      <c r="H7" s="118">
        <v>33</v>
      </c>
      <c r="I7" s="118"/>
      <c r="J7" s="118">
        <v>67</v>
      </c>
      <c r="K7" s="118"/>
      <c r="L7" s="118">
        <v>30</v>
      </c>
      <c r="M7" s="118"/>
      <c r="N7" s="118">
        <v>55</v>
      </c>
      <c r="O7" s="118"/>
      <c r="P7" s="118">
        <v>26</v>
      </c>
      <c r="Q7" s="118"/>
      <c r="R7" s="118">
        <v>24</v>
      </c>
      <c r="S7" s="118"/>
      <c r="T7" s="118"/>
      <c r="U7" s="118"/>
      <c r="V7" s="118"/>
      <c r="W7" s="118"/>
      <c r="X7" s="118"/>
      <c r="Y7" s="118"/>
      <c r="Z7" s="118"/>
      <c r="AA7" s="118">
        <v>87</v>
      </c>
      <c r="AB7" s="119"/>
      <c r="AC7" s="117" t="s">
        <v>41</v>
      </c>
      <c r="AD7" s="120">
        <v>1241</v>
      </c>
      <c r="AE7" s="120">
        <v>545</v>
      </c>
      <c r="AF7" s="120">
        <v>87</v>
      </c>
      <c r="AG7" s="120">
        <v>87</v>
      </c>
      <c r="AH7" s="120">
        <v>13.444166666666668</v>
      </c>
      <c r="AI7" s="121">
        <v>16.73</v>
      </c>
      <c r="AJ7" s="120">
        <v>87</v>
      </c>
      <c r="AK7" s="120">
        <v>87</v>
      </c>
      <c r="AL7" s="120">
        <v>12.501666666666667</v>
      </c>
      <c r="AM7" s="120">
        <v>16.437999999999999</v>
      </c>
      <c r="AN7" s="120">
        <v>87</v>
      </c>
      <c r="AO7" s="120">
        <v>87</v>
      </c>
      <c r="AP7" s="120">
        <v>11.559166666666668</v>
      </c>
      <c r="AQ7" s="121">
        <v>13.814</v>
      </c>
      <c r="AR7" s="120">
        <v>87</v>
      </c>
      <c r="AS7" s="120">
        <v>87</v>
      </c>
      <c r="AT7" s="120">
        <v>9.9633333333333329</v>
      </c>
      <c r="AU7" s="120">
        <v>13.525</v>
      </c>
      <c r="AV7" s="120">
        <v>87</v>
      </c>
      <c r="AW7" s="120">
        <v>87</v>
      </c>
      <c r="AX7" s="120">
        <v>9.0788333333333338</v>
      </c>
      <c r="AY7" s="121">
        <v>12.081</v>
      </c>
      <c r="AZ7" s="120">
        <v>87</v>
      </c>
      <c r="BA7" s="120">
        <v>87</v>
      </c>
      <c r="BB7" s="120">
        <v>7.1532499999999999</v>
      </c>
      <c r="BC7" s="120">
        <v>11.2</v>
      </c>
      <c r="BD7" s="120">
        <v>87</v>
      </c>
      <c r="BE7" s="120">
        <v>87</v>
      </c>
      <c r="BF7" s="120">
        <v>6.3811249999999999</v>
      </c>
      <c r="BG7" s="120">
        <v>9.7189999999999994</v>
      </c>
      <c r="BH7" s="120">
        <v>87</v>
      </c>
      <c r="BI7" s="120">
        <v>87</v>
      </c>
      <c r="BJ7" s="120">
        <v>5.6089999999999991</v>
      </c>
      <c r="BK7" s="120">
        <v>8.76</v>
      </c>
      <c r="BL7" s="120">
        <v>87</v>
      </c>
      <c r="BM7" s="120">
        <f>AE7*10.1%/12</f>
        <v>4.5870833333333332</v>
      </c>
      <c r="BN7" s="120">
        <v>87</v>
      </c>
      <c r="BO7" s="120">
        <f>(AE7-BL7)*10.1%/365*31</f>
        <v>3.9287616438356165</v>
      </c>
      <c r="BP7" s="120">
        <v>87</v>
      </c>
      <c r="BQ7" s="120">
        <f>(AE7-(BP7*2))*10.1%/365*30</f>
        <v>3.0798082191780818</v>
      </c>
      <c r="BR7" s="120">
        <v>87</v>
      </c>
      <c r="BS7" s="120">
        <f>(AE7-(BP7*3))*0.101/365*31</f>
        <v>2.4361753424657535</v>
      </c>
      <c r="BT7" s="122">
        <f>AF7+AJ7+AN7+AR7+AV7+AZ7+BD7+BH7+BL7+BN7+BP7+BR7</f>
        <v>1044</v>
      </c>
      <c r="BU7" s="122">
        <f t="shared" si="0"/>
        <v>89.72237020547945</v>
      </c>
      <c r="BW7" s="36">
        <v>0</v>
      </c>
      <c r="BX7" s="36">
        <v>0</v>
      </c>
      <c r="BY7" s="43">
        <f>BU7</f>
        <v>89.72237020547945</v>
      </c>
      <c r="BZ7" s="146">
        <f t="shared" ref="BZ7:BZ26" si="1">AI7+AM7+AQ7+AU7+AY7+BC7+BG7+BK7+BM7+BO7+BQ7+BS7</f>
        <v>116.29882853881278</v>
      </c>
    </row>
    <row r="8" spans="1:78" x14ac:dyDescent="0.3">
      <c r="A8" s="123" t="s">
        <v>39</v>
      </c>
      <c r="B8" s="124">
        <v>35000</v>
      </c>
      <c r="C8" s="123" t="s">
        <v>43</v>
      </c>
      <c r="D8" s="124">
        <v>28200</v>
      </c>
      <c r="E8" s="124">
        <v>400</v>
      </c>
      <c r="F8" s="124">
        <v>678</v>
      </c>
      <c r="G8" s="124"/>
      <c r="H8" s="124">
        <v>693</v>
      </c>
      <c r="I8" s="124"/>
      <c r="J8" s="124">
        <v>714</v>
      </c>
      <c r="K8" s="124"/>
      <c r="L8" s="124">
        <v>1360</v>
      </c>
      <c r="M8" s="124"/>
      <c r="N8" s="124">
        <v>538</v>
      </c>
      <c r="O8" s="124"/>
      <c r="P8" s="124">
        <v>549</v>
      </c>
      <c r="Q8" s="124"/>
      <c r="R8" s="124">
        <v>502</v>
      </c>
      <c r="S8" s="124"/>
      <c r="T8" s="124"/>
      <c r="U8" s="124"/>
      <c r="V8" s="124"/>
      <c r="W8" s="124"/>
      <c r="X8" s="124"/>
      <c r="Y8" s="124"/>
      <c r="Z8" s="124"/>
      <c r="AA8" s="124">
        <v>400</v>
      </c>
      <c r="AB8" s="125"/>
      <c r="AC8" s="123" t="s">
        <v>44</v>
      </c>
      <c r="AD8" s="126">
        <v>27800</v>
      </c>
      <c r="AE8" s="126">
        <v>24600</v>
      </c>
      <c r="AF8" s="126">
        <v>400</v>
      </c>
      <c r="AG8" s="126">
        <v>400</v>
      </c>
      <c r="AH8" s="126">
        <v>312.75000000000006</v>
      </c>
      <c r="AI8" s="126">
        <v>378.32799999999997</v>
      </c>
      <c r="AJ8" s="126">
        <v>400</v>
      </c>
      <c r="AK8" s="126">
        <v>400</v>
      </c>
      <c r="AL8" s="126">
        <v>308.25000000000006</v>
      </c>
      <c r="AM8" s="126">
        <f>313.594+64.881</f>
        <v>378.47500000000002</v>
      </c>
      <c r="AN8" s="126">
        <v>400</v>
      </c>
      <c r="AO8" s="126">
        <v>400</v>
      </c>
      <c r="AP8" s="126">
        <v>303.75000000000006</v>
      </c>
      <c r="AQ8" s="127">
        <v>348.952</v>
      </c>
      <c r="AR8" s="126">
        <v>400</v>
      </c>
      <c r="AS8" s="126">
        <v>400</v>
      </c>
      <c r="AT8" s="126">
        <v>281.51666666666671</v>
      </c>
      <c r="AU8" s="126">
        <v>367.29399999999998</v>
      </c>
      <c r="AV8" s="126">
        <v>400</v>
      </c>
      <c r="AW8" s="126">
        <v>400</v>
      </c>
      <c r="AX8" s="126">
        <v>277.28333333333336</v>
      </c>
      <c r="AY8" s="127">
        <v>350.82100000000003</v>
      </c>
      <c r="AZ8" s="126">
        <v>500</v>
      </c>
      <c r="BA8" s="126">
        <v>400</v>
      </c>
      <c r="BB8" s="126">
        <v>238.79583333333335</v>
      </c>
      <c r="BC8" s="126">
        <v>356.61</v>
      </c>
      <c r="BD8" s="126">
        <v>500</v>
      </c>
      <c r="BE8" s="126">
        <v>400</v>
      </c>
      <c r="BF8" s="126">
        <v>234.15</v>
      </c>
      <c r="BG8" s="126">
        <v>340.315</v>
      </c>
      <c r="BH8" s="126">
        <v>500</v>
      </c>
      <c r="BI8" s="126">
        <v>400</v>
      </c>
      <c r="BJ8" s="126">
        <v>229.50416666666669</v>
      </c>
      <c r="BK8" s="126">
        <v>345.56799999999998</v>
      </c>
      <c r="BL8" s="126">
        <v>500</v>
      </c>
      <c r="BM8" s="126">
        <f>AE8*10.6%/12</f>
        <v>217.29999999999998</v>
      </c>
      <c r="BN8" s="126">
        <v>500</v>
      </c>
      <c r="BO8" s="126">
        <f>(AE8-BL8)*10.6%/365*31</f>
        <v>216.96602739726026</v>
      </c>
      <c r="BP8" s="126">
        <v>500</v>
      </c>
      <c r="BQ8" s="126">
        <f>(AE8-(BP8*2))*10.6%/365*30</f>
        <v>205.61095890410957</v>
      </c>
      <c r="BR8" s="126">
        <v>500</v>
      </c>
      <c r="BS8" s="126">
        <f>(AE8-(BP8*3))*0.106/365*31</f>
        <v>207.96328767123285</v>
      </c>
      <c r="BT8" s="128">
        <f t="shared" ref="BT8:BT17" si="2">AF8+AJ8+AN8+AR8+AV8+AZ8+BD8+BH8+BL8+BN8+BP8+BR8</f>
        <v>5500</v>
      </c>
      <c r="BU8" s="128">
        <f t="shared" si="0"/>
        <v>3033.8402739726034</v>
      </c>
      <c r="BW8" s="43">
        <f>BU8/35*29</f>
        <v>2513.7533698630141</v>
      </c>
      <c r="BX8" s="43">
        <f>BU8/35*6</f>
        <v>520.08690410958911</v>
      </c>
      <c r="BY8" s="36">
        <v>0</v>
      </c>
      <c r="BZ8" s="146">
        <f t="shared" si="1"/>
        <v>3714.2032739726037</v>
      </c>
    </row>
    <row r="9" spans="1:78" x14ac:dyDescent="0.3">
      <c r="A9" s="111" t="s">
        <v>39</v>
      </c>
      <c r="B9" s="112">
        <v>10000</v>
      </c>
      <c r="C9" s="111" t="s">
        <v>45</v>
      </c>
      <c r="D9" s="112">
        <v>9133.33</v>
      </c>
      <c r="E9" s="112"/>
      <c r="F9" s="112">
        <v>221</v>
      </c>
      <c r="G9" s="112"/>
      <c r="H9" s="112">
        <v>0</v>
      </c>
      <c r="I9" s="112"/>
      <c r="J9" s="112">
        <v>446</v>
      </c>
      <c r="K9" s="112"/>
      <c r="L9" s="112">
        <v>235</v>
      </c>
      <c r="M9" s="112"/>
      <c r="N9" s="112">
        <v>175</v>
      </c>
      <c r="O9" s="112"/>
      <c r="P9" s="112">
        <v>180</v>
      </c>
      <c r="Q9" s="112"/>
      <c r="R9" s="112">
        <v>175</v>
      </c>
      <c r="S9" s="112"/>
      <c r="T9" s="112"/>
      <c r="U9" s="112"/>
      <c r="V9" s="112"/>
      <c r="W9" s="112"/>
      <c r="X9" s="112"/>
      <c r="Y9" s="112"/>
      <c r="Z9" s="112"/>
      <c r="AA9" s="112">
        <v>150</v>
      </c>
      <c r="AB9" s="113"/>
      <c r="AC9" s="111" t="s">
        <v>44</v>
      </c>
      <c r="AD9" s="114">
        <v>9058</v>
      </c>
      <c r="AE9" s="114">
        <v>7758.33</v>
      </c>
      <c r="AF9" s="114">
        <v>150</v>
      </c>
      <c r="AG9" s="114">
        <v>75</v>
      </c>
      <c r="AH9" s="114">
        <v>101.0624625</v>
      </c>
      <c r="AI9" s="115">
        <v>126.40900000000001</v>
      </c>
      <c r="AJ9" s="114">
        <v>150</v>
      </c>
      <c r="AK9" s="114">
        <v>75</v>
      </c>
      <c r="AL9" s="114">
        <v>99.374962499999995</v>
      </c>
      <c r="AM9" s="115">
        <v>104.104</v>
      </c>
      <c r="AN9" s="114">
        <v>150</v>
      </c>
      <c r="AO9" s="114">
        <v>75</v>
      </c>
      <c r="AP9" s="114">
        <v>97.687462499999995</v>
      </c>
      <c r="AQ9" s="115">
        <v>133.69399999999999</v>
      </c>
      <c r="AR9" s="114">
        <v>150</v>
      </c>
      <c r="AS9" s="114">
        <v>75</v>
      </c>
      <c r="AT9" s="114">
        <v>90.311075833333334</v>
      </c>
      <c r="AU9" s="114">
        <v>121.91200000000001</v>
      </c>
      <c r="AV9" s="114">
        <v>150</v>
      </c>
      <c r="AW9" s="114">
        <v>250</v>
      </c>
      <c r="AX9" s="114">
        <v>88.723575833333328</v>
      </c>
      <c r="AY9" s="115">
        <v>117.11</v>
      </c>
      <c r="AZ9" s="114">
        <v>150</v>
      </c>
      <c r="BA9" s="114">
        <v>250</v>
      </c>
      <c r="BB9" s="114">
        <v>76.501357916666663</v>
      </c>
      <c r="BC9" s="114">
        <v>117.65</v>
      </c>
      <c r="BD9" s="114">
        <v>150</v>
      </c>
      <c r="BE9" s="114">
        <v>250</v>
      </c>
      <c r="BF9" s="114">
        <v>75.107607916666666</v>
      </c>
      <c r="BG9" s="114">
        <v>110.52200000000001</v>
      </c>
      <c r="BH9" s="114">
        <v>150</v>
      </c>
      <c r="BI9" s="114">
        <v>250</v>
      </c>
      <c r="BJ9" s="114">
        <v>73.713857916666669</v>
      </c>
      <c r="BK9" s="114">
        <v>110.971</v>
      </c>
      <c r="BL9" s="114">
        <v>150</v>
      </c>
      <c r="BM9" s="114">
        <f>AE9*10.6%/12</f>
        <v>68.531914999999998</v>
      </c>
      <c r="BN9" s="114">
        <v>150</v>
      </c>
      <c r="BO9" s="114">
        <f>(AE9-BL9)*10.6%/365*31</f>
        <v>68.495814739726029</v>
      </c>
      <c r="BP9" s="114">
        <v>150</v>
      </c>
      <c r="BQ9" s="114">
        <f>(AE9-(BP9*2))*10.6%/360*30</f>
        <v>65.881915000000006</v>
      </c>
      <c r="BR9" s="114">
        <v>250</v>
      </c>
      <c r="BS9" s="114">
        <f>(AE9-(BP9*3))*0.106/365*30</f>
        <v>63.672573698630131</v>
      </c>
      <c r="BT9" s="116">
        <f t="shared" si="2"/>
        <v>1900</v>
      </c>
      <c r="BU9" s="116">
        <f t="shared" si="0"/>
        <v>969.06458135502294</v>
      </c>
      <c r="BW9" s="43">
        <f>BU9</f>
        <v>969.06458135502294</v>
      </c>
      <c r="BX9" s="36"/>
      <c r="BY9" s="36"/>
      <c r="BZ9" s="146">
        <f t="shared" si="1"/>
        <v>1208.9542184383563</v>
      </c>
    </row>
    <row r="10" spans="1:78" x14ac:dyDescent="0.3">
      <c r="A10" s="111" t="s">
        <v>39</v>
      </c>
      <c r="B10" s="112">
        <v>17000</v>
      </c>
      <c r="C10" s="111" t="s">
        <v>46</v>
      </c>
      <c r="D10" s="112">
        <v>17000</v>
      </c>
      <c r="E10" s="112"/>
      <c r="F10" s="112">
        <v>419</v>
      </c>
      <c r="G10" s="112"/>
      <c r="H10" s="112">
        <v>443</v>
      </c>
      <c r="I10" s="112"/>
      <c r="J10" s="112">
        <v>138</v>
      </c>
      <c r="K10" s="112"/>
      <c r="L10" s="112">
        <v>699</v>
      </c>
      <c r="M10" s="112"/>
      <c r="N10" s="112">
        <v>333</v>
      </c>
      <c r="O10" s="112"/>
      <c r="P10" s="112">
        <v>343</v>
      </c>
      <c r="Q10" s="112"/>
      <c r="R10" s="112">
        <v>330</v>
      </c>
      <c r="S10" s="112"/>
      <c r="T10" s="112"/>
      <c r="U10" s="112"/>
      <c r="V10" s="112"/>
      <c r="W10" s="112"/>
      <c r="X10" s="112"/>
      <c r="Y10" s="112"/>
      <c r="Z10" s="112"/>
      <c r="AA10" s="112">
        <v>1062.5</v>
      </c>
      <c r="AB10" s="113"/>
      <c r="AC10" s="111" t="s">
        <v>47</v>
      </c>
      <c r="AD10" s="114">
        <v>15937.5</v>
      </c>
      <c r="AE10" s="114">
        <v>13812.5</v>
      </c>
      <c r="AF10" s="114">
        <v>1062.5</v>
      </c>
      <c r="AG10" s="114">
        <v>0</v>
      </c>
      <c r="AH10" s="114">
        <v>179.296875</v>
      </c>
      <c r="AI10" s="114">
        <v>226.256</v>
      </c>
      <c r="AJ10" s="114">
        <v>1062.5</v>
      </c>
      <c r="AK10" s="114">
        <v>1062.5</v>
      </c>
      <c r="AL10" s="114">
        <v>167.34375000000003</v>
      </c>
      <c r="AM10" s="114">
        <v>220.614</v>
      </c>
      <c r="AN10" s="114">
        <v>1062.5</v>
      </c>
      <c r="AO10" s="114">
        <v>0</v>
      </c>
      <c r="AP10" s="114">
        <v>155.39062500000003</v>
      </c>
      <c r="AQ10" s="115">
        <v>205.768</v>
      </c>
      <c r="AR10" s="114">
        <v>1062.5</v>
      </c>
      <c r="AS10" s="114">
        <v>0</v>
      </c>
      <c r="AT10" s="114">
        <v>15.9375</v>
      </c>
      <c r="AU10" s="114">
        <v>207.18700000000001</v>
      </c>
      <c r="AV10" s="114">
        <v>1062.5</v>
      </c>
      <c r="AW10" s="114">
        <v>0</v>
      </c>
      <c r="AX10" s="114">
        <v>123.69270833333333</v>
      </c>
      <c r="AY10" s="114">
        <v>198.672</v>
      </c>
      <c r="AZ10" s="114">
        <v>1062.5</v>
      </c>
      <c r="BA10" s="114">
        <v>1062.5</v>
      </c>
      <c r="BB10" s="114">
        <v>98.723958333333329</v>
      </c>
      <c r="BC10" s="114">
        <v>205.3</v>
      </c>
      <c r="BD10" s="114">
        <v>1062.5</v>
      </c>
      <c r="BE10" s="114">
        <v>0</v>
      </c>
      <c r="BF10" s="114">
        <v>88.8515625</v>
      </c>
      <c r="BG10" s="114">
        <v>186.374</v>
      </c>
      <c r="BH10" s="114">
        <v>1062.5</v>
      </c>
      <c r="BI10" s="114">
        <v>0</v>
      </c>
      <c r="BJ10" s="114">
        <v>78.979166666666671</v>
      </c>
      <c r="BK10" s="114">
        <v>190.631</v>
      </c>
      <c r="BL10" s="114">
        <v>1062.5</v>
      </c>
      <c r="BM10" s="114">
        <v>191</v>
      </c>
      <c r="BN10" s="114"/>
      <c r="BO10" s="114"/>
      <c r="BP10" s="114"/>
      <c r="BQ10" s="114"/>
      <c r="BR10" s="114">
        <v>1062.5</v>
      </c>
      <c r="BS10" s="114">
        <f>(AE10-AF10)*10.6%/365*91</f>
        <v>336.94931506849315</v>
      </c>
      <c r="BT10" s="116">
        <f t="shared" si="2"/>
        <v>10625</v>
      </c>
      <c r="BU10" s="116">
        <f t="shared" si="0"/>
        <v>1436.1654609018267</v>
      </c>
      <c r="BW10" s="43">
        <f>BU10</f>
        <v>1436.1654609018267</v>
      </c>
      <c r="BX10" s="36"/>
      <c r="BY10" s="36"/>
      <c r="BZ10" s="146">
        <f t="shared" si="1"/>
        <v>2168.7513150684931</v>
      </c>
    </row>
    <row r="11" spans="1:78" x14ac:dyDescent="0.3">
      <c r="A11" s="36"/>
      <c r="B11" s="129"/>
      <c r="C11" s="36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30"/>
      <c r="AC11" s="130"/>
      <c r="AD11" s="131"/>
      <c r="AE11" s="131"/>
      <c r="AF11" s="132"/>
      <c r="AG11" s="132"/>
      <c r="AH11" s="132"/>
      <c r="AI11" s="133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3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22">
        <f t="shared" si="2"/>
        <v>0</v>
      </c>
      <c r="BU11" s="22">
        <f t="shared" si="0"/>
        <v>0</v>
      </c>
      <c r="BW11" s="36"/>
      <c r="BX11" s="36"/>
      <c r="BY11" s="36"/>
      <c r="BZ11" s="146">
        <f t="shared" si="1"/>
        <v>0</v>
      </c>
    </row>
    <row r="12" spans="1:78" x14ac:dyDescent="0.3">
      <c r="A12" s="123" t="s">
        <v>48</v>
      </c>
      <c r="B12" s="124">
        <v>10000</v>
      </c>
      <c r="C12" s="123" t="s">
        <v>49</v>
      </c>
      <c r="D12" s="124">
        <v>3560</v>
      </c>
      <c r="E12" s="124">
        <v>280</v>
      </c>
      <c r="F12" s="124">
        <f>[19]NSB!M33</f>
        <v>102.16734246575344</v>
      </c>
      <c r="G12" s="124">
        <v>280</v>
      </c>
      <c r="H12" s="124">
        <f>[19]NSB!M34</f>
        <v>96.371610958904128</v>
      </c>
      <c r="I12" s="124">
        <v>280</v>
      </c>
      <c r="J12" s="124">
        <f>[19]NSB!M35</f>
        <v>85.775123287671235</v>
      </c>
      <c r="K12" s="124">
        <v>280</v>
      </c>
      <c r="L12" s="124">
        <f>[19]NSB!M36</f>
        <v>84.968829448383104</v>
      </c>
      <c r="M12" s="124">
        <v>280</v>
      </c>
      <c r="N12" s="124">
        <f>[19]NSB!M37</f>
        <v>77.572058164102685</v>
      </c>
      <c r="O12" s="124">
        <v>280</v>
      </c>
      <c r="P12" s="124">
        <f>[19]NSB!M38</f>
        <v>62.960745205479448</v>
      </c>
      <c r="Q12" s="124">
        <v>280</v>
      </c>
      <c r="R12" s="124">
        <f>[19]NSB!M39</f>
        <v>53.734431496487275</v>
      </c>
      <c r="S12" s="124">
        <v>280</v>
      </c>
      <c r="T12" s="124">
        <f>[19]NSB!M40</f>
        <v>49.334618467482208</v>
      </c>
      <c r="U12" s="124">
        <v>280</v>
      </c>
      <c r="V12" s="124">
        <f>[19]NSB!M41</f>
        <v>31.364624657534247</v>
      </c>
      <c r="W12" s="124">
        <v>280</v>
      </c>
      <c r="X12" s="124">
        <f>[19]NSB!M42</f>
        <v>25.875815342465753</v>
      </c>
      <c r="Y12" s="124">
        <v>280</v>
      </c>
      <c r="Z12" s="124">
        <f>[19]NSB!M43</f>
        <v>20.387006027397263</v>
      </c>
      <c r="AA12" s="124">
        <v>280</v>
      </c>
      <c r="AB12" s="125">
        <f>[19]NSB!M44</f>
        <v>14.898196712328767</v>
      </c>
      <c r="AC12" s="123" t="s">
        <v>50</v>
      </c>
      <c r="AD12" s="126">
        <v>742.66</v>
      </c>
      <c r="AE12" s="126">
        <v>0</v>
      </c>
      <c r="AF12" s="126">
        <v>200</v>
      </c>
      <c r="AG12" s="126">
        <v>289</v>
      </c>
      <c r="AH12" s="126">
        <v>3.9205780821917808</v>
      </c>
      <c r="AI12" s="127">
        <f>1.47+2.213</f>
        <v>3.6829999999999998</v>
      </c>
      <c r="AJ12" s="126">
        <v>0</v>
      </c>
      <c r="AK12" s="126">
        <f>AD12-AG12</f>
        <v>453.65999999999997</v>
      </c>
      <c r="AL12" s="126">
        <v>0</v>
      </c>
      <c r="AM12" s="126">
        <v>2.6339999999999999</v>
      </c>
      <c r="AN12" s="126">
        <v>0</v>
      </c>
      <c r="AO12" s="126"/>
      <c r="AP12" s="126">
        <v>0</v>
      </c>
      <c r="AQ12" s="126"/>
      <c r="AR12" s="126">
        <v>0</v>
      </c>
      <c r="AS12" s="126"/>
      <c r="AT12" s="126">
        <v>0</v>
      </c>
      <c r="AU12" s="126">
        <v>12.1</v>
      </c>
      <c r="AV12" s="126">
        <v>0</v>
      </c>
      <c r="AW12" s="126"/>
      <c r="AX12" s="126">
        <v>0</v>
      </c>
      <c r="AY12" s="127"/>
      <c r="AZ12" s="126"/>
      <c r="BA12" s="126">
        <v>0</v>
      </c>
      <c r="BB12" s="126">
        <v>0</v>
      </c>
      <c r="BC12" s="126">
        <v>0</v>
      </c>
      <c r="BD12" s="126">
        <v>0</v>
      </c>
      <c r="BE12" s="126">
        <v>0</v>
      </c>
      <c r="BF12" s="126">
        <v>0</v>
      </c>
      <c r="BG12" s="126">
        <v>0</v>
      </c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>
        <f t="shared" si="2"/>
        <v>200</v>
      </c>
      <c r="BU12" s="128">
        <f>AH12+AL12+AP12+AT12+AX12+BB12+BF12+BJ12+BM12+BO12+BQ12+BS12</f>
        <v>3.9205780821917808</v>
      </c>
      <c r="BW12" s="43">
        <f>BU12/10*4</f>
        <v>1.5682312328767123</v>
      </c>
      <c r="BX12" s="43">
        <f>BU12/10*6</f>
        <v>2.3523468493150683</v>
      </c>
      <c r="BY12" s="36"/>
      <c r="BZ12" s="146">
        <f t="shared" si="1"/>
        <v>18.417000000000002</v>
      </c>
    </row>
    <row r="13" spans="1:78" x14ac:dyDescent="0.3">
      <c r="A13" s="134" t="s">
        <v>51</v>
      </c>
      <c r="B13" s="135">
        <v>5000</v>
      </c>
      <c r="C13" s="134" t="s">
        <v>52</v>
      </c>
      <c r="D13" s="135">
        <v>5000</v>
      </c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>
        <v>673</v>
      </c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6">
        <f>B13*0.2/12*6</f>
        <v>500</v>
      </c>
      <c r="AC13" s="134" t="s">
        <v>44</v>
      </c>
      <c r="AD13" s="137">
        <v>5000</v>
      </c>
      <c r="AE13" s="137">
        <v>4500</v>
      </c>
      <c r="AF13" s="137"/>
      <c r="AG13" s="137"/>
      <c r="AH13" s="137"/>
      <c r="AI13" s="138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8"/>
      <c r="AZ13" s="137">
        <v>500</v>
      </c>
      <c r="BA13" s="137">
        <v>500</v>
      </c>
      <c r="BB13" s="137">
        <v>440.20269999999999</v>
      </c>
      <c r="BC13" s="137">
        <v>440.202</v>
      </c>
      <c r="BD13" s="137">
        <v>0</v>
      </c>
      <c r="BE13" s="137">
        <v>0</v>
      </c>
      <c r="BF13" s="137">
        <v>0</v>
      </c>
      <c r="BG13" s="137">
        <v>0</v>
      </c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>
        <v>500</v>
      </c>
      <c r="BS13" s="138">
        <f>4500*12.12%/366*183</f>
        <v>272.7</v>
      </c>
      <c r="BT13" s="139">
        <f t="shared" si="2"/>
        <v>1000</v>
      </c>
      <c r="BU13" s="139">
        <f t="shared" si="0"/>
        <v>712.90269999999998</v>
      </c>
      <c r="BW13" s="36"/>
      <c r="BX13" s="43">
        <f>BU13</f>
        <v>712.90269999999998</v>
      </c>
      <c r="BY13" s="36"/>
      <c r="BZ13" s="146">
        <f t="shared" si="1"/>
        <v>712.90200000000004</v>
      </c>
    </row>
    <row r="14" spans="1:78" x14ac:dyDescent="0.3">
      <c r="A14" s="36"/>
      <c r="B14" s="129"/>
      <c r="C14" s="36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30"/>
      <c r="AC14" s="130"/>
      <c r="AD14" s="131"/>
      <c r="AE14" s="131"/>
      <c r="AF14" s="132"/>
      <c r="AG14" s="132"/>
      <c r="AH14" s="132"/>
      <c r="AI14" s="133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3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22">
        <f t="shared" si="2"/>
        <v>0</v>
      </c>
      <c r="BU14" s="22">
        <f t="shared" si="0"/>
        <v>0</v>
      </c>
      <c r="BW14" s="36"/>
      <c r="BX14" s="36"/>
      <c r="BY14" s="36"/>
      <c r="BZ14" s="146">
        <f t="shared" si="1"/>
        <v>0</v>
      </c>
    </row>
    <row r="15" spans="1:78" x14ac:dyDescent="0.3">
      <c r="A15" s="123" t="s">
        <v>53</v>
      </c>
      <c r="B15" s="124">
        <v>15000</v>
      </c>
      <c r="C15" s="140" t="s">
        <v>54</v>
      </c>
      <c r="D15" s="124">
        <v>11710</v>
      </c>
      <c r="E15" s="124">
        <v>214</v>
      </c>
      <c r="F15" s="124">
        <f>'[19]BOC 15 Bn'!L52</f>
        <v>315.66584876712335</v>
      </c>
      <c r="G15" s="124">
        <v>214</v>
      </c>
      <c r="H15" s="124">
        <f>'[19]BOC 15 Bn'!L53</f>
        <v>285.83307945205479</v>
      </c>
      <c r="I15" s="124">
        <v>214</v>
      </c>
      <c r="J15" s="124">
        <f>'[19]BOC 15 Bn'!L54</f>
        <v>236.1687846575343</v>
      </c>
      <c r="K15" s="124">
        <v>214</v>
      </c>
      <c r="L15" s="124">
        <f>'[19]BOC 15 Bn'!L55</f>
        <v>246.35251561643835</v>
      </c>
      <c r="M15" s="124">
        <v>214</v>
      </c>
      <c r="N15" s="124">
        <f>'[19]BOC 15 Bn'!L56</f>
        <v>208.32098630136989</v>
      </c>
      <c r="O15" s="124">
        <v>214</v>
      </c>
      <c r="P15" s="124">
        <f>'[19]BOC 15 Bn'!L57</f>
        <v>207.69203342465752</v>
      </c>
      <c r="Q15" s="124">
        <v>214</v>
      </c>
      <c r="R15" s="124">
        <f>'[19]BOC 15 Bn'!L58</f>
        <v>199.2157808219178</v>
      </c>
      <c r="S15" s="124">
        <v>214</v>
      </c>
      <c r="T15" s="124">
        <f>'[19]BOC 15 Bn'!L59</f>
        <v>191.13649315972606</v>
      </c>
      <c r="U15" s="124">
        <v>243</v>
      </c>
      <c r="V15" s="124">
        <f>'[19]BOC 15 Bn'!L60</f>
        <v>180.79436712328769</v>
      </c>
      <c r="W15" s="124">
        <v>243</v>
      </c>
      <c r="X15" s="124">
        <f>'[19]BOC 15 Bn'!L61</f>
        <v>176.49226849315065</v>
      </c>
      <c r="Y15" s="124">
        <v>243</v>
      </c>
      <c r="Z15" s="124">
        <f>'[19]BOC 15 Bn'!L62</f>
        <v>172.19016986301369</v>
      </c>
      <c r="AA15" s="124">
        <v>243</v>
      </c>
      <c r="AB15" s="125">
        <f>'[19]BOC 15 Bn'!L63</f>
        <v>167.88807123287671</v>
      </c>
      <c r="AC15" s="140" t="s">
        <v>44</v>
      </c>
      <c r="AD15" s="126">
        <v>9240</v>
      </c>
      <c r="AE15" s="126">
        <v>7296</v>
      </c>
      <c r="AF15" s="126">
        <v>243</v>
      </c>
      <c r="AG15" s="126">
        <v>243</v>
      </c>
      <c r="AH15" s="126">
        <v>101.21625</v>
      </c>
      <c r="AI15" s="127">
        <f>70.823+35.4113</f>
        <v>106.23429999999999</v>
      </c>
      <c r="AJ15" s="126">
        <v>243</v>
      </c>
      <c r="AK15" s="126">
        <v>243</v>
      </c>
      <c r="AL15" s="126">
        <v>98.482500000000016</v>
      </c>
      <c r="AM15" s="126">
        <f>40.913+20.456</f>
        <v>61.369</v>
      </c>
      <c r="AN15" s="126">
        <v>243</v>
      </c>
      <c r="AO15" s="126">
        <v>243</v>
      </c>
      <c r="AP15" s="126">
        <v>95.748750000000015</v>
      </c>
      <c r="AQ15" s="126">
        <v>94.888999999999996</v>
      </c>
      <c r="AR15" s="126">
        <v>243</v>
      </c>
      <c r="AS15" s="126">
        <v>243</v>
      </c>
      <c r="AT15" s="126">
        <v>87.503</v>
      </c>
      <c r="AU15" s="126">
        <v>85.775999999999996</v>
      </c>
      <c r="AV15" s="126">
        <v>243</v>
      </c>
      <c r="AW15" s="126">
        <v>243</v>
      </c>
      <c r="AX15" s="126">
        <v>84.931250000000006</v>
      </c>
      <c r="AY15" s="127">
        <v>81.138999999999996</v>
      </c>
      <c r="AZ15" s="126">
        <v>243</v>
      </c>
      <c r="BA15" s="126">
        <v>243</v>
      </c>
      <c r="BB15" s="126">
        <v>72.307749999999999</v>
      </c>
      <c r="BC15" s="126">
        <v>71.14</v>
      </c>
      <c r="BD15" s="126">
        <v>243</v>
      </c>
      <c r="BE15" s="126">
        <v>243</v>
      </c>
      <c r="BF15" s="126">
        <v>70.049875</v>
      </c>
      <c r="BG15" s="126">
        <v>67.813999999999993</v>
      </c>
      <c r="BH15" s="126">
        <v>281</v>
      </c>
      <c r="BI15" s="126">
        <v>281</v>
      </c>
      <c r="BJ15" s="126">
        <v>67.792000000000002</v>
      </c>
      <c r="BK15" s="126">
        <v>64.947999999999993</v>
      </c>
      <c r="BL15" s="126">
        <v>281</v>
      </c>
      <c r="BM15" s="126">
        <v>65</v>
      </c>
      <c r="BN15" s="126">
        <v>281</v>
      </c>
      <c r="BO15" s="126">
        <v>59</v>
      </c>
      <c r="BP15" s="126">
        <v>281</v>
      </c>
      <c r="BQ15" s="126">
        <v>57</v>
      </c>
      <c r="BR15" s="126">
        <v>281</v>
      </c>
      <c r="BS15" s="126">
        <v>54</v>
      </c>
      <c r="BT15" s="128">
        <f t="shared" si="2"/>
        <v>3106</v>
      </c>
      <c r="BU15" s="128">
        <f t="shared" si="0"/>
        <v>913.03137500000003</v>
      </c>
      <c r="BW15" s="43">
        <f>BU15/3*2</f>
        <v>608.68758333333335</v>
      </c>
      <c r="BX15" s="43">
        <f>BU15/3</f>
        <v>304.34379166666668</v>
      </c>
      <c r="BY15" s="36"/>
      <c r="BZ15" s="146">
        <f t="shared" si="1"/>
        <v>868.30930000000001</v>
      </c>
    </row>
    <row r="16" spans="1:78" x14ac:dyDescent="0.3">
      <c r="A16" s="134" t="s">
        <v>53</v>
      </c>
      <c r="B16" s="135">
        <v>5000</v>
      </c>
      <c r="C16" s="134" t="s">
        <v>55</v>
      </c>
      <c r="D16" s="135">
        <v>4820</v>
      </c>
      <c r="E16" s="135">
        <v>20</v>
      </c>
      <c r="F16" s="135">
        <f>'[19]BOC 5 Bn'!L44</f>
        <v>128.16961095890412</v>
      </c>
      <c r="G16" s="135">
        <v>20</v>
      </c>
      <c r="H16" s="135">
        <f>'[19]BOC 5 Bn'!L45</f>
        <v>116.83788493150686</v>
      </c>
      <c r="I16" s="135">
        <v>20</v>
      </c>
      <c r="J16" s="135">
        <f>'[19]BOC 5 Bn'!L46</f>
        <v>97.946849315068476</v>
      </c>
      <c r="K16" s="135">
        <v>20</v>
      </c>
      <c r="L16" s="135">
        <f>'[19]BOC 5 Bn'!L47</f>
        <v>103.89807671</v>
      </c>
      <c r="M16" s="135">
        <v>20</v>
      </c>
      <c r="N16" s="135">
        <f>'[19]BOC 5 Bn'!L48</f>
        <v>88.658652063835618</v>
      </c>
      <c r="O16" s="135">
        <v>20</v>
      </c>
      <c r="P16" s="135">
        <f>'[19]BOC 5 Bn'!L49</f>
        <v>90.373863628897453</v>
      </c>
      <c r="Q16" s="135">
        <v>20</v>
      </c>
      <c r="R16" s="135">
        <f>'[19]BOC 5 Bn'!L50</f>
        <v>88.201413694383561</v>
      </c>
      <c r="S16" s="135">
        <v>20</v>
      </c>
      <c r="T16" s="135">
        <f>'[19]BOC 5 Bn'!L51</f>
        <v>85.403956170136993</v>
      </c>
      <c r="U16" s="135">
        <v>20</v>
      </c>
      <c r="V16" s="135">
        <f>'[19]BOC 5 Bn'!L52</f>
        <v>85.251189041095884</v>
      </c>
      <c r="W16" s="135">
        <v>20</v>
      </c>
      <c r="X16" s="135">
        <f>'[19]BOC 5 Bn'!L53</f>
        <v>84.885304109589029</v>
      </c>
      <c r="Y16" s="135">
        <v>20</v>
      </c>
      <c r="Z16" s="135">
        <f>'[19]BOC 5 Bn'!L54</f>
        <v>84.519419178082188</v>
      </c>
      <c r="AA16" s="135">
        <v>20</v>
      </c>
      <c r="AB16" s="136">
        <f>'[19]BOC 5 Bn'!L55</f>
        <v>84.153534246575319</v>
      </c>
      <c r="AC16" s="134" t="s">
        <v>44</v>
      </c>
      <c r="AD16" s="137">
        <v>4580</v>
      </c>
      <c r="AE16" s="137">
        <v>4345</v>
      </c>
      <c r="AF16" s="137">
        <v>20</v>
      </c>
      <c r="AG16" s="137">
        <v>20</v>
      </c>
      <c r="AH16" s="137">
        <v>51.300000000000004</v>
      </c>
      <c r="AI16" s="138">
        <v>56.781999999999996</v>
      </c>
      <c r="AJ16" s="137">
        <v>20</v>
      </c>
      <c r="AK16" s="137">
        <v>20</v>
      </c>
      <c r="AL16" s="137">
        <v>51.07500000000001</v>
      </c>
      <c r="AM16" s="137">
        <v>53.677</v>
      </c>
      <c r="AN16" s="137">
        <v>35</v>
      </c>
      <c r="AO16" s="137">
        <v>35</v>
      </c>
      <c r="AP16" s="137">
        <v>50.85</v>
      </c>
      <c r="AQ16" s="137">
        <v>48.436</v>
      </c>
      <c r="AR16" s="137">
        <v>35</v>
      </c>
      <c r="AS16" s="137">
        <v>20</v>
      </c>
      <c r="AT16" s="137">
        <v>47.466250000000002</v>
      </c>
      <c r="AU16" s="137">
        <v>50.228000000000002</v>
      </c>
      <c r="AV16" s="137">
        <v>35</v>
      </c>
      <c r="AW16" s="137">
        <v>35</v>
      </c>
      <c r="AX16" s="137">
        <v>47.095833333333331</v>
      </c>
      <c r="AY16" s="138">
        <v>46.45</v>
      </c>
      <c r="AZ16" s="137">
        <v>35</v>
      </c>
      <c r="BA16" s="137">
        <v>35</v>
      </c>
      <c r="BB16" s="137">
        <v>41.022708333333334</v>
      </c>
      <c r="BC16" s="137">
        <v>44.8</v>
      </c>
      <c r="BD16" s="137">
        <v>35</v>
      </c>
      <c r="BE16" s="137">
        <v>35</v>
      </c>
      <c r="BF16" s="137">
        <v>40.697499999999998</v>
      </c>
      <c r="BG16" s="137">
        <v>40.368000000000002</v>
      </c>
      <c r="BH16" s="137">
        <v>35</v>
      </c>
      <c r="BI16" s="137">
        <v>35</v>
      </c>
      <c r="BJ16" s="137">
        <v>40.372291666666669</v>
      </c>
      <c r="BK16" s="137">
        <v>39.289000000000001</v>
      </c>
      <c r="BL16" s="137">
        <v>10</v>
      </c>
      <c r="BM16" s="137">
        <v>39.200000000000003</v>
      </c>
      <c r="BN16" s="137">
        <v>10</v>
      </c>
      <c r="BO16" s="137">
        <v>39.1</v>
      </c>
      <c r="BP16" s="137">
        <v>10</v>
      </c>
      <c r="BQ16" s="137">
        <v>39</v>
      </c>
      <c r="BR16" s="137">
        <v>10</v>
      </c>
      <c r="BS16" s="137">
        <v>39</v>
      </c>
      <c r="BT16" s="139">
        <f t="shared" si="2"/>
        <v>290</v>
      </c>
      <c r="BU16" s="139">
        <f t="shared" si="0"/>
        <v>526.17958333333331</v>
      </c>
      <c r="BW16" s="36"/>
      <c r="BX16" s="43">
        <f>BU16</f>
        <v>526.17958333333331</v>
      </c>
      <c r="BY16" s="36"/>
      <c r="BZ16" s="146">
        <f t="shared" si="1"/>
        <v>536.33000000000004</v>
      </c>
    </row>
    <row r="17" spans="1:78" x14ac:dyDescent="0.3">
      <c r="A17" s="117" t="s">
        <v>53</v>
      </c>
      <c r="B17" s="118">
        <v>3000</v>
      </c>
      <c r="C17" s="117" t="s">
        <v>56</v>
      </c>
      <c r="D17" s="118">
        <v>0</v>
      </c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>
        <v>50</v>
      </c>
      <c r="R17" s="118">
        <v>9</v>
      </c>
      <c r="S17" s="118">
        <v>50</v>
      </c>
      <c r="T17" s="118">
        <f>576*0.24/365*31</f>
        <v>11.740931506849316</v>
      </c>
      <c r="U17" s="118">
        <v>50</v>
      </c>
      <c r="V17" s="118">
        <f>1000*0.24/365*30</f>
        <v>19.726027397260275</v>
      </c>
      <c r="W17" s="118">
        <v>50</v>
      </c>
      <c r="X17" s="118">
        <f>1500*0.24/365*30</f>
        <v>29.589041095890408</v>
      </c>
      <c r="Y17" s="118">
        <v>50</v>
      </c>
      <c r="Z17" s="118">
        <f>2000*0.24/365*30</f>
        <v>39.452054794520549</v>
      </c>
      <c r="AA17" s="118">
        <v>50</v>
      </c>
      <c r="AB17" s="119">
        <f>2500*0.24/365*30</f>
        <v>49.315068493150683</v>
      </c>
      <c r="AC17" s="117" t="s">
        <v>50</v>
      </c>
      <c r="AD17" s="120">
        <v>1665.9</v>
      </c>
      <c r="AE17" s="120">
        <v>1909</v>
      </c>
      <c r="AF17" s="120">
        <v>50</v>
      </c>
      <c r="AG17" s="120">
        <v>50</v>
      </c>
      <c r="AH17" s="120">
        <v>54</v>
      </c>
      <c r="AI17" s="121">
        <v>35.67</v>
      </c>
      <c r="AJ17" s="120">
        <v>50</v>
      </c>
      <c r="AK17" s="120">
        <v>50</v>
      </c>
      <c r="AL17" s="120">
        <v>40.512328767123293</v>
      </c>
      <c r="AM17" s="120">
        <v>30.776</v>
      </c>
      <c r="AN17" s="120">
        <v>50</v>
      </c>
      <c r="AO17" s="120">
        <v>50</v>
      </c>
      <c r="AP17" s="120">
        <v>35.758904109589039</v>
      </c>
      <c r="AQ17" s="120">
        <v>25.620999999999999</v>
      </c>
      <c r="AR17" s="120">
        <v>50</v>
      </c>
      <c r="AS17" s="120">
        <v>50</v>
      </c>
      <c r="AT17" s="120">
        <v>29.112500000000001</v>
      </c>
      <c r="AU17" s="120">
        <v>21.704999999999998</v>
      </c>
      <c r="AV17" s="120">
        <v>50</v>
      </c>
      <c r="AW17" s="120">
        <v>50</v>
      </c>
      <c r="AX17" s="120">
        <v>28.541666666666668</v>
      </c>
      <c r="AY17" s="121">
        <v>19.11</v>
      </c>
      <c r="AZ17" s="120">
        <v>50</v>
      </c>
      <c r="BA17" s="120">
        <v>50</v>
      </c>
      <c r="BB17" s="120">
        <v>23.785416666666666</v>
      </c>
      <c r="BC17" s="120">
        <v>19.260000000000002</v>
      </c>
      <c r="BD17" s="120">
        <v>50</v>
      </c>
      <c r="BE17" s="120">
        <v>50</v>
      </c>
      <c r="BF17" s="120">
        <v>23.3</v>
      </c>
      <c r="BG17" s="120">
        <v>17.725999999999999</v>
      </c>
      <c r="BH17" s="120">
        <v>50</v>
      </c>
      <c r="BI17" s="120">
        <v>50</v>
      </c>
      <c r="BJ17" s="120">
        <v>22.814583333333335</v>
      </c>
      <c r="BK17" s="120">
        <v>18.251999999999999</v>
      </c>
      <c r="BL17" s="120">
        <v>50</v>
      </c>
      <c r="BM17" s="120">
        <f>AE17*11.1%/365*30</f>
        <v>17.416356164383561</v>
      </c>
      <c r="BN17" s="120">
        <v>50</v>
      </c>
      <c r="BO17" s="120">
        <f>(AE17-BL17)*11.1%/365*30</f>
        <v>16.960191780821916</v>
      </c>
      <c r="BP17" s="120">
        <v>50</v>
      </c>
      <c r="BQ17" s="120">
        <f>(AE17-(BP17*2))*11.1%/360*30</f>
        <v>16.733250000000002</v>
      </c>
      <c r="BR17" s="120">
        <v>50</v>
      </c>
      <c r="BS17" s="120">
        <f>(AE17-(BR17*2))*11.1%/365*30</f>
        <v>16.504027397260273</v>
      </c>
      <c r="BT17" s="122">
        <f t="shared" si="2"/>
        <v>600</v>
      </c>
      <c r="BU17" s="122">
        <f t="shared" si="0"/>
        <v>325.43922488584474</v>
      </c>
      <c r="BW17" s="36"/>
      <c r="BX17" s="36"/>
      <c r="BY17" s="43">
        <f>BU17</f>
        <v>325.43922488584474</v>
      </c>
      <c r="BZ17" s="146">
        <f t="shared" si="1"/>
        <v>255.73382534246574</v>
      </c>
    </row>
    <row r="18" spans="1:78" x14ac:dyDescent="0.3">
      <c r="A18" s="36"/>
      <c r="B18" s="129"/>
      <c r="C18" s="36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30"/>
      <c r="AC18" s="130"/>
      <c r="AD18" s="131"/>
      <c r="AE18" s="131"/>
      <c r="AF18" s="132"/>
      <c r="AG18" s="132"/>
      <c r="AH18" s="132"/>
      <c r="AI18" s="133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3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 t="s">
        <v>124</v>
      </c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W18" s="36"/>
      <c r="BX18" s="36"/>
      <c r="BY18" s="36"/>
      <c r="BZ18" s="146"/>
    </row>
    <row r="19" spans="1:78" x14ac:dyDescent="0.3">
      <c r="A19" s="111" t="s">
        <v>58</v>
      </c>
      <c r="B19" s="112">
        <v>3000</v>
      </c>
      <c r="C19" s="111" t="s">
        <v>59</v>
      </c>
      <c r="D19" s="112">
        <v>2312</v>
      </c>
      <c r="E19" s="112">
        <v>62.5</v>
      </c>
      <c r="F19" s="112">
        <f>[19]NTB3Bn!K21</f>
        <v>59.50513698630138</v>
      </c>
      <c r="G19" s="112">
        <v>62.5</v>
      </c>
      <c r="H19" s="112">
        <f>[19]NTB3Bn!K22</f>
        <v>57.950616438356178</v>
      </c>
      <c r="I19" s="112">
        <v>62.5</v>
      </c>
      <c r="J19" s="112">
        <f>[19]NTB3Bn!K23</f>
        <v>51.073150684931512</v>
      </c>
      <c r="K19" s="112">
        <v>62.5</v>
      </c>
      <c r="L19" s="112">
        <f>[19]NTB3Bn!K24</f>
        <v>54.97457191780822</v>
      </c>
      <c r="M19" s="112">
        <v>62.5</v>
      </c>
      <c r="N19" s="112">
        <f>[19]NTB3Bn!$K$25</f>
        <v>51.309143835616439</v>
      </c>
      <c r="O19" s="112">
        <v>62.5</v>
      </c>
      <c r="P19" s="112">
        <f>[19]NTB3Bn!$K$26</f>
        <v>40.639726027397259</v>
      </c>
      <c r="Q19" s="112">
        <v>62.5</v>
      </c>
      <c r="R19" s="112">
        <f>[19]NTB3Bn!$K$27</f>
        <v>38.136986301369859</v>
      </c>
      <c r="S19" s="112">
        <v>62.5</v>
      </c>
      <c r="T19" s="112">
        <f>[19]NTB3Bn!$K$28</f>
        <v>37.896438356164388</v>
      </c>
      <c r="U19" s="112">
        <v>62.5</v>
      </c>
      <c r="V19" s="112">
        <f>[19]NTB3Bn!$K$29</f>
        <v>34.142465753424659</v>
      </c>
      <c r="W19" s="112">
        <v>62.5</v>
      </c>
      <c r="X19" s="112">
        <f>[19]NTB3Bn!$K$30</f>
        <v>33.004383561643834</v>
      </c>
      <c r="Y19" s="112">
        <v>62.5</v>
      </c>
      <c r="Z19" s="112">
        <f>[19]NTB3Bn!$K$31</f>
        <v>31.866301369863013</v>
      </c>
      <c r="AA19" s="112">
        <v>62.5</v>
      </c>
      <c r="AB19" s="113">
        <f>[19]NTB3Bn!$K$32</f>
        <v>30.728219178082192</v>
      </c>
      <c r="AC19" s="111" t="s">
        <v>60</v>
      </c>
      <c r="AD19" s="114">
        <v>1625</v>
      </c>
      <c r="AE19" s="114">
        <v>1125</v>
      </c>
      <c r="AF19" s="114">
        <v>62.5</v>
      </c>
      <c r="AG19" s="114">
        <v>62.5</v>
      </c>
      <c r="AH19" s="114">
        <v>17.447916666666668</v>
      </c>
      <c r="AI19" s="115">
        <v>21.431000000000001</v>
      </c>
      <c r="AJ19" s="114">
        <v>62.5</v>
      </c>
      <c r="AK19" s="114">
        <v>62.5</v>
      </c>
      <c r="AL19" s="114">
        <v>16.75</v>
      </c>
      <c r="AM19" s="114">
        <v>16.388999999999999</v>
      </c>
      <c r="AN19" s="114">
        <v>62.5</v>
      </c>
      <c r="AO19" s="114">
        <v>62.5</v>
      </c>
      <c r="AP19" s="114">
        <v>16.052083333333332</v>
      </c>
      <c r="AQ19" s="114">
        <v>16.79</v>
      </c>
      <c r="AR19" s="114">
        <v>62.5</v>
      </c>
      <c r="AS19" s="114">
        <v>62.5</v>
      </c>
      <c r="AT19" s="114">
        <v>14.4375</v>
      </c>
      <c r="AU19" s="114">
        <v>15.493</v>
      </c>
      <c r="AV19" s="114">
        <v>62.5</v>
      </c>
      <c r="AW19" s="114">
        <v>62.5</v>
      </c>
      <c r="AX19" s="114">
        <v>13.78125</v>
      </c>
      <c r="AY19" s="115">
        <v>13.9</v>
      </c>
      <c r="AZ19" s="114">
        <v>62.5</v>
      </c>
      <c r="BA19" s="114">
        <v>62.5</v>
      </c>
      <c r="BB19" s="114">
        <v>11.510416666666666</v>
      </c>
      <c r="BC19" s="114">
        <v>12.82</v>
      </c>
      <c r="BD19" s="114">
        <v>62.5</v>
      </c>
      <c r="BE19" s="114">
        <v>62.5</v>
      </c>
      <c r="BF19" s="114">
        <v>10.934895833333334</v>
      </c>
      <c r="BG19" s="114">
        <v>12.45</v>
      </c>
      <c r="BH19" s="114">
        <v>62.5</v>
      </c>
      <c r="BI19" s="114">
        <v>62.5</v>
      </c>
      <c r="BJ19" s="114">
        <v>10.359375</v>
      </c>
      <c r="BK19" s="114">
        <v>9.98</v>
      </c>
      <c r="BL19" s="114">
        <v>62.5</v>
      </c>
      <c r="BM19" s="114">
        <v>9.5</v>
      </c>
      <c r="BN19" s="114">
        <v>62.5</v>
      </c>
      <c r="BO19" s="114">
        <v>8.9</v>
      </c>
      <c r="BP19" s="114">
        <v>62.5</v>
      </c>
      <c r="BQ19" s="114">
        <v>8.4</v>
      </c>
      <c r="BR19" s="114">
        <v>62.5</v>
      </c>
      <c r="BS19" s="114">
        <v>7.8</v>
      </c>
      <c r="BT19" s="116">
        <f>AF19+AJ19+AN19+AR19+AV19+AZ19+BD19+BH19+BL19+BN19+BP19+BR19</f>
        <v>750</v>
      </c>
      <c r="BU19" s="116">
        <f>AH19+AL19+AP19+AT19+AX19+BB19+BF19+BJ19+BM19+BO19+BQ19+BS19</f>
        <v>145.87343750000002</v>
      </c>
      <c r="BW19" s="43">
        <f>BU19</f>
        <v>145.87343750000002</v>
      </c>
      <c r="BX19" s="36"/>
      <c r="BY19" s="36"/>
      <c r="BZ19" s="146">
        <f t="shared" si="1"/>
        <v>153.85300000000004</v>
      </c>
    </row>
    <row r="20" spans="1:78" x14ac:dyDescent="0.3">
      <c r="A20" s="111" t="s">
        <v>58</v>
      </c>
      <c r="B20" s="112">
        <v>3000</v>
      </c>
      <c r="C20" s="111" t="s">
        <v>61</v>
      </c>
      <c r="D20" s="112">
        <v>0</v>
      </c>
      <c r="E20" s="112"/>
      <c r="F20" s="112"/>
      <c r="G20" s="112"/>
      <c r="H20" s="112"/>
      <c r="I20" s="112"/>
      <c r="J20" s="112"/>
      <c r="K20" s="112"/>
      <c r="L20" s="112"/>
      <c r="M20" s="112">
        <v>167</v>
      </c>
      <c r="N20" s="112">
        <f>'[19]NTB 3 new'!$K$11</f>
        <v>48.945205479452056</v>
      </c>
      <c r="O20" s="112">
        <v>167</v>
      </c>
      <c r="P20" s="112">
        <f>'[19]NTB 3 new'!$K$12</f>
        <v>57.32027396585918</v>
      </c>
      <c r="Q20" s="112">
        <v>167</v>
      </c>
      <c r="R20" s="112">
        <f>'[19]NTB 3 new'!$K$13</f>
        <v>52.208219165030151</v>
      </c>
      <c r="S20" s="112">
        <v>167</v>
      </c>
      <c r="T20" s="112">
        <f>'[19]NTB 3 new'!$K$14</f>
        <v>44.054794502926029</v>
      </c>
      <c r="U20" s="112">
        <v>167</v>
      </c>
      <c r="V20" s="112">
        <f>'[19]NTB 3 new'!$K$15</f>
        <v>41.117808195682201</v>
      </c>
      <c r="W20" s="112">
        <v>167</v>
      </c>
      <c r="X20" s="112">
        <f>'[19]NTB 3 new'!$K$16</f>
        <v>38.180821870816438</v>
      </c>
      <c r="Y20" s="112">
        <v>167</v>
      </c>
      <c r="Z20" s="112">
        <f>'[19]NTB 3 new'!$K$17</f>
        <v>35.243835528328766</v>
      </c>
      <c r="AA20" s="112">
        <v>167</v>
      </c>
      <c r="AB20" s="113">
        <f>'[19]NTB 3 new'!$K$18</f>
        <v>32.306849168219181</v>
      </c>
      <c r="AC20" s="111" t="s">
        <v>60</v>
      </c>
      <c r="AD20" s="114">
        <v>1666.67</v>
      </c>
      <c r="AE20" s="114">
        <v>333.33</v>
      </c>
      <c r="AF20" s="114">
        <v>166.667</v>
      </c>
      <c r="AG20" s="114">
        <v>166.67</v>
      </c>
      <c r="AH20" s="114">
        <v>16.75</v>
      </c>
      <c r="AI20" s="115">
        <v>17.52</v>
      </c>
      <c r="AJ20" s="114">
        <v>166.667</v>
      </c>
      <c r="AK20" s="114">
        <v>166.67</v>
      </c>
      <c r="AL20" s="114">
        <v>14.888851666666667</v>
      </c>
      <c r="AM20" s="114">
        <v>14.568</v>
      </c>
      <c r="AN20" s="114">
        <v>166.667</v>
      </c>
      <c r="AO20" s="114">
        <v>166.67</v>
      </c>
      <c r="AP20" s="114">
        <v>13.027703333333335</v>
      </c>
      <c r="AQ20" s="114">
        <v>13.585000000000001</v>
      </c>
      <c r="AR20" s="114">
        <v>166.667</v>
      </c>
      <c r="AS20" s="114">
        <v>166.67</v>
      </c>
      <c r="AT20" s="114">
        <v>10.499895</v>
      </c>
      <c r="AU20" s="114">
        <v>10.254</v>
      </c>
      <c r="AV20" s="114">
        <v>166.667</v>
      </c>
      <c r="AW20" s="114">
        <v>166.67</v>
      </c>
      <c r="AX20" s="114">
        <v>8.74986</v>
      </c>
      <c r="AY20" s="115">
        <v>8.8290000000000006</v>
      </c>
      <c r="AZ20" s="114">
        <v>166.667</v>
      </c>
      <c r="BA20" s="114">
        <v>166.67</v>
      </c>
      <c r="BB20" s="114">
        <v>6.138735416666667</v>
      </c>
      <c r="BC20" s="114">
        <v>6.78</v>
      </c>
      <c r="BD20" s="114">
        <v>166.667</v>
      </c>
      <c r="BE20" s="114">
        <v>166.667</v>
      </c>
      <c r="BF20" s="114">
        <v>4.6039824999999999</v>
      </c>
      <c r="BG20" s="114">
        <v>4.6790000000000003</v>
      </c>
      <c r="BH20" s="114">
        <v>166.667</v>
      </c>
      <c r="BI20" s="114">
        <v>166.67</v>
      </c>
      <c r="BJ20" s="114">
        <v>3.069229583333335</v>
      </c>
      <c r="BK20" s="114">
        <v>3.11</v>
      </c>
      <c r="BL20" s="114">
        <v>166.667</v>
      </c>
      <c r="BM20" s="114">
        <v>3.1</v>
      </c>
      <c r="BN20" s="114">
        <v>166.67</v>
      </c>
      <c r="BO20" s="114">
        <v>1.5</v>
      </c>
      <c r="BP20" s="114"/>
      <c r="BQ20" s="114"/>
      <c r="BR20" s="114"/>
      <c r="BS20" s="114"/>
      <c r="BT20" s="116">
        <f>AF20+AJ20+AN20+AR20+AV20+AZ20+BD20+BH20+BL20+BN20+BP20+BR20</f>
        <v>1666.673</v>
      </c>
      <c r="BU20" s="116">
        <f>AH20+AL20+AP20+AT20+AX20+BB20+BF20+BJ20+BM20+BO20+BQ20+BS20</f>
        <v>82.328257500000007</v>
      </c>
      <c r="BW20" s="43">
        <f>BU20</f>
        <v>82.328257500000007</v>
      </c>
      <c r="BX20" s="36"/>
      <c r="BY20" s="36"/>
      <c r="BZ20" s="146">
        <f t="shared" si="1"/>
        <v>83.924999999999997</v>
      </c>
    </row>
    <row r="21" spans="1:78" x14ac:dyDescent="0.3">
      <c r="A21" s="117" t="s">
        <v>58</v>
      </c>
      <c r="B21" s="118">
        <v>2000</v>
      </c>
      <c r="C21" s="117" t="s">
        <v>62</v>
      </c>
      <c r="D21" s="118">
        <v>0</v>
      </c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>
        <v>111</v>
      </c>
      <c r="T21" s="118">
        <f>'[19]NTB 2Bn'!$K$11</f>
        <v>39.943013698630139</v>
      </c>
      <c r="U21" s="118">
        <v>111</v>
      </c>
      <c r="V21" s="118">
        <f>'[19]NTB 2Bn'!$K$12</f>
        <v>34.395372890967664</v>
      </c>
      <c r="W21" s="118">
        <v>111</v>
      </c>
      <c r="X21" s="118">
        <f>'[19]NTB 2Bn'!$K$13</f>
        <v>31.327853849950685</v>
      </c>
      <c r="Y21" s="118">
        <v>111</v>
      </c>
      <c r="Z21" s="118">
        <f>'[19]NTB 2Bn'!$K$14</f>
        <v>30.34885839893041</v>
      </c>
      <c r="AA21" s="118">
        <v>111</v>
      </c>
      <c r="AB21" s="119">
        <f>'[19]NTB 2Bn'!$K$15</f>
        <v>27.411872083463013</v>
      </c>
      <c r="AC21" s="117" t="s">
        <v>60</v>
      </c>
      <c r="AD21" s="120">
        <v>1444.44</v>
      </c>
      <c r="AE21" s="120">
        <v>555.54999999999995</v>
      </c>
      <c r="AF21" s="120">
        <v>111</v>
      </c>
      <c r="AG21" s="120">
        <v>111.11</v>
      </c>
      <c r="AH21" s="120">
        <v>14.885166666666668</v>
      </c>
      <c r="AI21" s="121">
        <v>16.399999999999999</v>
      </c>
      <c r="AJ21" s="120">
        <v>111</v>
      </c>
      <c r="AK21" s="120">
        <v>111.11</v>
      </c>
      <c r="AL21" s="120">
        <v>13.645666666666669</v>
      </c>
      <c r="AM21" s="120">
        <v>14.071</v>
      </c>
      <c r="AN21" s="120">
        <v>111</v>
      </c>
      <c r="AO21" s="120">
        <v>111.11</v>
      </c>
      <c r="AP21" s="120">
        <v>12.406166666666666</v>
      </c>
      <c r="AQ21" s="120">
        <v>13.44</v>
      </c>
      <c r="AR21" s="120">
        <v>111</v>
      </c>
      <c r="AS21" s="120">
        <v>111.11</v>
      </c>
      <c r="AT21" s="120">
        <v>10.5</v>
      </c>
      <c r="AU21" s="120">
        <v>10.647</v>
      </c>
      <c r="AV21" s="120">
        <v>111</v>
      </c>
      <c r="AW21" s="120">
        <v>111.11</v>
      </c>
      <c r="AX21" s="120">
        <v>9.3345000000000002</v>
      </c>
      <c r="AY21" s="121">
        <v>9.7789999999999999</v>
      </c>
      <c r="AZ21" s="120">
        <v>111</v>
      </c>
      <c r="BA21" s="120">
        <v>111</v>
      </c>
      <c r="BB21" s="120">
        <v>7.1640833333333331</v>
      </c>
      <c r="BC21" s="120">
        <v>8.1199999999999992</v>
      </c>
      <c r="BD21" s="120">
        <v>111</v>
      </c>
      <c r="BE21" s="120">
        <v>111</v>
      </c>
      <c r="BF21" s="120">
        <v>6.1419583333333341</v>
      </c>
      <c r="BG21" s="120">
        <v>6.23</v>
      </c>
      <c r="BH21" s="120">
        <v>111</v>
      </c>
      <c r="BI21" s="120">
        <v>111</v>
      </c>
      <c r="BJ21" s="120">
        <v>5.1198333333333332</v>
      </c>
      <c r="BK21" s="120">
        <v>5.1989999999999998</v>
      </c>
      <c r="BL21" s="120">
        <v>111</v>
      </c>
      <c r="BM21" s="120">
        <v>4</v>
      </c>
      <c r="BN21" s="120">
        <v>111</v>
      </c>
      <c r="BO21" s="120">
        <v>3</v>
      </c>
      <c r="BP21" s="120">
        <v>111</v>
      </c>
      <c r="BQ21" s="120">
        <v>2</v>
      </c>
      <c r="BR21" s="120">
        <v>111</v>
      </c>
      <c r="BS21" s="120">
        <v>1</v>
      </c>
      <c r="BT21" s="122">
        <f>AF21+AJ21+AN21+AR21+AV21+AZ21+BD21+BH21+BL21+BN21+BP21+BR21</f>
        <v>1332</v>
      </c>
      <c r="BU21" s="122">
        <f>AH21+AL21+AP21+AT21+AX21+BB21+BF21+BJ21+BM21+BO21+BQ21+BS21</f>
        <v>89.197375000000008</v>
      </c>
      <c r="BW21" s="36"/>
      <c r="BX21" s="36"/>
      <c r="BY21" s="43">
        <f>BU21</f>
        <v>89.197375000000008</v>
      </c>
      <c r="BZ21" s="146">
        <f t="shared" si="1"/>
        <v>93.885999999999996</v>
      </c>
    </row>
    <row r="22" spans="1:78" x14ac:dyDescent="0.3">
      <c r="A22" s="117" t="s">
        <v>58</v>
      </c>
      <c r="B22" s="118">
        <v>3000</v>
      </c>
      <c r="C22" s="117" t="s">
        <v>63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9"/>
      <c r="AC22" s="117" t="s">
        <v>60</v>
      </c>
      <c r="AD22" s="120">
        <v>0</v>
      </c>
      <c r="AE22" s="120">
        <v>2165</v>
      </c>
      <c r="AF22" s="120">
        <v>0</v>
      </c>
      <c r="AG22" s="120"/>
      <c r="AH22" s="120">
        <v>0</v>
      </c>
      <c r="AI22" s="121"/>
      <c r="AJ22" s="120">
        <v>0</v>
      </c>
      <c r="AK22" s="120"/>
      <c r="AL22" s="120">
        <v>0</v>
      </c>
      <c r="AM22" s="120"/>
      <c r="AN22" s="120">
        <v>167</v>
      </c>
      <c r="AO22" s="120">
        <v>0</v>
      </c>
      <c r="AP22" s="120">
        <v>35.147540983606561</v>
      </c>
      <c r="AQ22" s="120">
        <v>34.99</v>
      </c>
      <c r="AR22" s="120">
        <v>167</v>
      </c>
      <c r="AS22" s="120">
        <v>167</v>
      </c>
      <c r="AT22" s="120">
        <v>29.258852459016396</v>
      </c>
      <c r="AU22" s="120">
        <v>30.977</v>
      </c>
      <c r="AV22" s="120">
        <v>167</v>
      </c>
      <c r="AW22" s="120">
        <v>167</v>
      </c>
      <c r="AX22" s="120">
        <v>28.451901639344264</v>
      </c>
      <c r="AY22" s="121">
        <v>29.78</v>
      </c>
      <c r="AZ22" s="120">
        <v>167</v>
      </c>
      <c r="BA22" s="120">
        <v>167</v>
      </c>
      <c r="BB22" s="120">
        <v>22.634385245901637</v>
      </c>
      <c r="BC22" s="120">
        <v>24.13</v>
      </c>
      <c r="BD22" s="120">
        <v>167</v>
      </c>
      <c r="BE22" s="120">
        <v>167</v>
      </c>
      <c r="BF22" s="120">
        <v>21.825863387978139</v>
      </c>
      <c r="BG22" s="120">
        <v>23.26</v>
      </c>
      <c r="BH22" s="120">
        <v>167</v>
      </c>
      <c r="BI22" s="120">
        <v>167</v>
      </c>
      <c r="BJ22" s="120">
        <v>20.262862021857924</v>
      </c>
      <c r="BK22" s="120">
        <v>21.35</v>
      </c>
      <c r="BL22" s="120">
        <v>167</v>
      </c>
      <c r="BM22" s="120">
        <v>17</v>
      </c>
      <c r="BN22" s="120">
        <v>167</v>
      </c>
      <c r="BO22" s="120">
        <v>16.100000000000001</v>
      </c>
      <c r="BP22" s="120">
        <v>167</v>
      </c>
      <c r="BQ22" s="120">
        <v>14.2</v>
      </c>
      <c r="BR22" s="120">
        <v>167</v>
      </c>
      <c r="BS22" s="120">
        <v>13.31</v>
      </c>
      <c r="BT22" s="122">
        <f>AF22+AJ22+AN22+AR22+AV22+AZ22+BD22+BH22+BL22+BN22+BP22+BR22</f>
        <v>1670</v>
      </c>
      <c r="BU22" s="122">
        <f>AH22+AL22+AP22+AT22+AX22+BB22+BF22+BJ22+BM22+BO22+BQ22+BS22</f>
        <v>218.19140573770491</v>
      </c>
      <c r="BW22" s="36"/>
      <c r="BX22" s="36"/>
      <c r="BY22" s="43"/>
      <c r="BZ22" s="146">
        <f t="shared" si="1"/>
        <v>225.09699999999998</v>
      </c>
    </row>
    <row r="23" spans="1:78" x14ac:dyDescent="0.3">
      <c r="A23" s="117" t="s">
        <v>58</v>
      </c>
      <c r="B23" s="118">
        <v>1000</v>
      </c>
      <c r="C23" s="117" t="s">
        <v>113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9"/>
      <c r="AC23" s="117" t="s">
        <v>60</v>
      </c>
      <c r="AD23" s="141">
        <v>0</v>
      </c>
      <c r="AE23" s="141">
        <v>888</v>
      </c>
      <c r="AF23" s="120">
        <v>0</v>
      </c>
      <c r="AG23" s="120">
        <v>0</v>
      </c>
      <c r="AH23" s="120">
        <v>0</v>
      </c>
      <c r="AI23" s="120">
        <v>0</v>
      </c>
      <c r="AJ23" s="120">
        <v>0</v>
      </c>
      <c r="AK23" s="120">
        <v>0</v>
      </c>
      <c r="AL23" s="120">
        <v>0</v>
      </c>
      <c r="AM23" s="120">
        <v>0</v>
      </c>
      <c r="AN23" s="120">
        <v>0</v>
      </c>
      <c r="AO23" s="120">
        <v>0</v>
      </c>
      <c r="AP23" s="120">
        <v>0</v>
      </c>
      <c r="AQ23" s="120">
        <v>0</v>
      </c>
      <c r="AR23" s="120">
        <v>0</v>
      </c>
      <c r="AS23" s="120">
        <v>0</v>
      </c>
      <c r="AT23" s="120">
        <v>0</v>
      </c>
      <c r="AU23" s="120">
        <v>0</v>
      </c>
      <c r="AV23" s="120">
        <v>0</v>
      </c>
      <c r="AW23" s="120">
        <v>0</v>
      </c>
      <c r="AX23" s="120">
        <v>0</v>
      </c>
      <c r="AY23" s="120">
        <v>0</v>
      </c>
      <c r="AZ23" s="120">
        <v>0</v>
      </c>
      <c r="BA23" s="120">
        <v>56</v>
      </c>
      <c r="BB23" s="120"/>
      <c r="BC23" s="120">
        <v>9.0500000000000007</v>
      </c>
      <c r="BD23" s="120">
        <v>56</v>
      </c>
      <c r="BE23" s="120">
        <v>56</v>
      </c>
      <c r="BF23" s="120">
        <v>9</v>
      </c>
      <c r="BG23" s="120">
        <v>7.98</v>
      </c>
      <c r="BH23" s="120">
        <v>56</v>
      </c>
      <c r="BI23" s="120">
        <v>56</v>
      </c>
      <c r="BJ23" s="120">
        <v>7.7</v>
      </c>
      <c r="BK23" s="120">
        <v>8.3109999999999999</v>
      </c>
      <c r="BL23" s="120">
        <v>56</v>
      </c>
      <c r="BM23" s="120">
        <v>7.2</v>
      </c>
      <c r="BN23" s="120">
        <v>56</v>
      </c>
      <c r="BO23" s="120">
        <v>7</v>
      </c>
      <c r="BP23" s="120">
        <v>56</v>
      </c>
      <c r="BQ23" s="120">
        <v>6.2</v>
      </c>
      <c r="BR23" s="120">
        <v>56</v>
      </c>
      <c r="BS23" s="120">
        <v>6</v>
      </c>
      <c r="BT23" s="122">
        <f>AF23+AJ23+AN23+AR23+AV23+AZ23+BD23+BH23+BL23+BN23+BP23+BR23</f>
        <v>336</v>
      </c>
      <c r="BU23" s="122">
        <f>AH23+AL23+AP23+AT23+AX23+BB23+BF23+BJ23+BM23+BO23+BQ23+BS23</f>
        <v>43.1</v>
      </c>
      <c r="BW23" s="36"/>
      <c r="BX23" s="36"/>
      <c r="BY23" s="43"/>
      <c r="BZ23" s="146">
        <f t="shared" si="1"/>
        <v>51.741000000000007</v>
      </c>
    </row>
    <row r="24" spans="1:78" x14ac:dyDescent="0.3">
      <c r="A24" s="36"/>
      <c r="B24" s="129"/>
      <c r="C24" s="36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30"/>
      <c r="AC24" s="130"/>
      <c r="AD24" s="131"/>
      <c r="AF24" s="132"/>
      <c r="AG24" s="132"/>
      <c r="AH24" s="132"/>
      <c r="AI24" s="133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3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W24" s="36"/>
      <c r="BX24" s="36"/>
      <c r="BY24" s="36"/>
      <c r="BZ24" s="146">
        <f t="shared" si="1"/>
        <v>0</v>
      </c>
    </row>
    <row r="25" spans="1:78" x14ac:dyDescent="0.3">
      <c r="A25" s="123" t="s">
        <v>64</v>
      </c>
      <c r="B25" s="124">
        <v>2000</v>
      </c>
      <c r="C25" s="123" t="s">
        <v>65</v>
      </c>
      <c r="D25" s="124">
        <v>1648</v>
      </c>
      <c r="E25" s="124">
        <v>28</v>
      </c>
      <c r="F25" s="124">
        <f>'[19]Seylan 2Bn'!$K$54</f>
        <v>32.995618630136981</v>
      </c>
      <c r="G25" s="124">
        <v>28</v>
      </c>
      <c r="H25" s="124">
        <f>'[19]Seylan 2Bn'!$K$55</f>
        <v>32.444379178082194</v>
      </c>
      <c r="I25" s="124">
        <v>30</v>
      </c>
      <c r="J25" s="124">
        <f>'[19]Seylan 2Bn'!$K$56</f>
        <v>28.806706849315066</v>
      </c>
      <c r="K25" s="124">
        <v>30</v>
      </c>
      <c r="L25" s="124">
        <f>'[19]Seylan 2Bn'!$K$57</f>
        <v>31.30252602739726</v>
      </c>
      <c r="M25" s="124">
        <v>30</v>
      </c>
      <c r="N25" s="124">
        <f>'[19]Seylan 2Bn'!$K$58+'[19]Seylan 2Bn'!K59</f>
        <v>35.369687671232882</v>
      </c>
      <c r="O25" s="124">
        <v>30</v>
      </c>
      <c r="P25" s="124">
        <f>'[19]Seylan 2Bn'!$K$60</f>
        <v>36.254712328767127</v>
      </c>
      <c r="Q25" s="124">
        <v>33</v>
      </c>
      <c r="R25" s="124">
        <f>'[19]Seylan 2Bn'!$K$61</f>
        <v>34.397260273972606</v>
      </c>
      <c r="S25" s="124">
        <v>33</v>
      </c>
      <c r="T25" s="124">
        <f>'[19]Seylan 2Bn'!$K$62</f>
        <v>34.761871232876715</v>
      </c>
      <c r="U25" s="124">
        <v>33</v>
      </c>
      <c r="V25" s="124">
        <f>'[19]Seylan 2Bn'!$K$63</f>
        <v>33.979906849315078</v>
      </c>
      <c r="W25" s="124">
        <v>33</v>
      </c>
      <c r="X25" s="124">
        <f>'[19]Seylan 2Bn'!$K$64</f>
        <v>33.197942465753435</v>
      </c>
      <c r="Y25" s="124">
        <v>36</v>
      </c>
      <c r="Z25" s="124">
        <f>'[19]Seylan 2Bn'!$K$65</f>
        <v>26.931984657534247</v>
      </c>
      <c r="AA25" s="124">
        <v>36</v>
      </c>
      <c r="AB25" s="125">
        <f>'[19]Seylan 2Bn'!$K$66</f>
        <v>26.223248219178085</v>
      </c>
      <c r="AC25" s="140" t="s">
        <v>44</v>
      </c>
      <c r="AD25" s="126">
        <v>1296</v>
      </c>
      <c r="AE25" s="126">
        <v>918</v>
      </c>
      <c r="AF25" s="126">
        <v>36</v>
      </c>
      <c r="AG25" s="126">
        <v>36</v>
      </c>
      <c r="AH25" s="126">
        <v>14.175000000000002</v>
      </c>
      <c r="AI25" s="127">
        <f>10.752*2</f>
        <v>21.504000000000001</v>
      </c>
      <c r="AJ25" s="126">
        <v>39</v>
      </c>
      <c r="AK25" s="126">
        <v>36</v>
      </c>
      <c r="AL25" s="126">
        <v>13.770000000000001</v>
      </c>
      <c r="AM25" s="126">
        <v>9.7710000000000008</v>
      </c>
      <c r="AN25" s="126">
        <v>39</v>
      </c>
      <c r="AO25" s="126">
        <v>39</v>
      </c>
      <c r="AP25" s="126">
        <v>13.331250000000002</v>
      </c>
      <c r="AQ25" s="126">
        <v>20.224</v>
      </c>
      <c r="AR25" s="126">
        <v>39</v>
      </c>
      <c r="AS25" s="126">
        <v>39</v>
      </c>
      <c r="AT25" s="126">
        <v>12.128500000000001</v>
      </c>
      <c r="AU25" s="126">
        <v>13.4</v>
      </c>
      <c r="AV25" s="126">
        <v>63</v>
      </c>
      <c r="AW25" s="126">
        <v>63</v>
      </c>
      <c r="AX25" s="126">
        <v>11.71575</v>
      </c>
      <c r="AY25" s="127">
        <v>12.986000000000001</v>
      </c>
      <c r="AZ25" s="126">
        <v>63</v>
      </c>
      <c r="BA25" s="126">
        <v>63</v>
      </c>
      <c r="BB25" s="126">
        <v>9.3381249999999998</v>
      </c>
      <c r="BC25" s="126">
        <v>11.85</v>
      </c>
      <c r="BD25" s="126">
        <v>63</v>
      </c>
      <c r="BE25" s="126">
        <v>63</v>
      </c>
      <c r="BF25" s="126">
        <v>8.3903750000000006</v>
      </c>
      <c r="BG25" s="126">
        <v>11.507</v>
      </c>
      <c r="BH25" s="126">
        <v>63</v>
      </c>
      <c r="BI25" s="126">
        <v>63</v>
      </c>
      <c r="BJ25" s="126">
        <v>7.8049999999999997</v>
      </c>
      <c r="BK25" s="126">
        <v>10.768000000000001</v>
      </c>
      <c r="BL25" s="126">
        <v>63</v>
      </c>
      <c r="BM25" s="126">
        <v>10</v>
      </c>
      <c r="BN25" s="126">
        <v>63</v>
      </c>
      <c r="BO25" s="126">
        <v>7.2</v>
      </c>
      <c r="BP25" s="126">
        <v>63</v>
      </c>
      <c r="BQ25" s="126">
        <v>6.6</v>
      </c>
      <c r="BR25" s="126">
        <v>63</v>
      </c>
      <c r="BS25" s="126">
        <v>6</v>
      </c>
      <c r="BT25" s="128">
        <f>AF25+AJ25+AN25+AR25+AV25+AZ25+BD25+BH25+BL25+BN25+BP25+BR25</f>
        <v>657</v>
      </c>
      <c r="BU25" s="128">
        <f>AH25+AL25+AP25+AT25+AX25+BB25+BF25+BJ25+BM25+BO25+BQ25+BS25</f>
        <v>120.45400000000002</v>
      </c>
      <c r="BW25" s="43">
        <f>BU25/2</f>
        <v>60.227000000000011</v>
      </c>
      <c r="BX25" s="43">
        <f>BU25/2</f>
        <v>60.227000000000011</v>
      </c>
      <c r="BY25" s="36"/>
      <c r="BZ25" s="146">
        <f t="shared" si="1"/>
        <v>141.81</v>
      </c>
    </row>
    <row r="26" spans="1:78" x14ac:dyDescent="0.3">
      <c r="A26" s="234" t="s">
        <v>64</v>
      </c>
      <c r="B26" s="235">
        <v>2000</v>
      </c>
      <c r="C26" s="234" t="s">
        <v>66</v>
      </c>
      <c r="D26" s="235">
        <v>0</v>
      </c>
      <c r="E26" s="235"/>
      <c r="F26" s="235"/>
      <c r="G26" s="235"/>
      <c r="H26" s="235"/>
      <c r="I26" s="235"/>
      <c r="J26" s="235"/>
      <c r="K26" s="235">
        <v>0</v>
      </c>
      <c r="L26" s="235">
        <f>'[19]Seylan 2Bn new'!$J$10</f>
        <v>24.880547945205478</v>
      </c>
      <c r="M26" s="235">
        <v>0</v>
      </c>
      <c r="N26" s="235">
        <f>'[19]Seylan 2Bn new'!$J$11</f>
        <v>41.899178082191781</v>
      </c>
      <c r="O26" s="235">
        <v>0</v>
      </c>
      <c r="P26" s="235">
        <f>'[19]Seylan 2Bn new'!$J$12</f>
        <v>40.90301369863014</v>
      </c>
      <c r="Q26" s="235">
        <v>0</v>
      </c>
      <c r="R26" s="235">
        <f>'[19]Seylan 2Bn new'!$J$13</f>
        <v>38.255342465753422</v>
      </c>
      <c r="S26" s="235">
        <v>0</v>
      </c>
      <c r="T26" s="235">
        <f>'[19]Seylan 2Bn new'!$J$14</f>
        <v>38.028493150684923</v>
      </c>
      <c r="U26" s="235">
        <v>0</v>
      </c>
      <c r="V26" s="235">
        <f>'[19]Seylan 2Bn new'!$J$15</f>
        <v>37.437808219178081</v>
      </c>
      <c r="W26" s="235">
        <v>0</v>
      </c>
      <c r="X26" s="235">
        <f>'[19]Seylan 2Bn new'!$J$16</f>
        <v>37.437808219178081</v>
      </c>
      <c r="Y26" s="235">
        <v>0</v>
      </c>
      <c r="Z26" s="235">
        <f>'[19]Seylan 2Bn new'!$J$17</f>
        <v>37.437808219178081</v>
      </c>
      <c r="AA26" s="235">
        <v>0</v>
      </c>
      <c r="AB26" s="236">
        <f>'[19]Seylan 2Bn new'!$J$17</f>
        <v>37.437808219178081</v>
      </c>
      <c r="AC26" s="234" t="s">
        <v>50</v>
      </c>
      <c r="AD26" s="237">
        <v>2000</v>
      </c>
      <c r="AE26" s="237">
        <v>1791.66</v>
      </c>
      <c r="AF26" s="237">
        <v>0</v>
      </c>
      <c r="AG26" s="237">
        <v>0</v>
      </c>
      <c r="AH26" s="237">
        <v>23.333333333333329</v>
      </c>
      <c r="AI26" s="238">
        <v>24.94</v>
      </c>
      <c r="AJ26" s="237">
        <v>0</v>
      </c>
      <c r="AK26" s="237">
        <v>0</v>
      </c>
      <c r="AL26" s="237">
        <v>23.333333333333329</v>
      </c>
      <c r="AM26" s="237">
        <v>22.434000000000001</v>
      </c>
      <c r="AN26" s="237">
        <v>0</v>
      </c>
      <c r="AO26" s="237"/>
      <c r="AP26" s="237">
        <v>23.333333333333329</v>
      </c>
      <c r="AQ26" s="237">
        <v>23.289000000000001</v>
      </c>
      <c r="AR26" s="237">
        <v>0</v>
      </c>
      <c r="AS26" s="237">
        <v>41.66</v>
      </c>
      <c r="AT26" s="237">
        <v>22</v>
      </c>
      <c r="AU26" s="237">
        <v>21.402999999999999</v>
      </c>
      <c r="AV26" s="237">
        <v>0</v>
      </c>
      <c r="AW26" s="237">
        <v>41.66</v>
      </c>
      <c r="AX26" s="237">
        <v>22</v>
      </c>
      <c r="AY26" s="238">
        <v>20.63</v>
      </c>
      <c r="AZ26" s="237">
        <v>41.66</v>
      </c>
      <c r="BA26" s="237">
        <v>41.66</v>
      </c>
      <c r="BB26" s="237">
        <v>19.416666666666668</v>
      </c>
      <c r="BC26" s="237">
        <v>18.43</v>
      </c>
      <c r="BD26" s="237">
        <v>41.66</v>
      </c>
      <c r="BE26" s="237">
        <v>41.66</v>
      </c>
      <c r="BF26" s="237">
        <v>19.416666666666668</v>
      </c>
      <c r="BG26" s="237">
        <v>17.605</v>
      </c>
      <c r="BH26" s="237">
        <v>41.66</v>
      </c>
      <c r="BI26" s="237">
        <v>41.66</v>
      </c>
      <c r="BJ26" s="237">
        <v>19.416666666666668</v>
      </c>
      <c r="BK26" s="237">
        <v>16.722000000000001</v>
      </c>
      <c r="BL26" s="237">
        <v>41.66</v>
      </c>
      <c r="BM26" s="237">
        <v>16.399999999999999</v>
      </c>
      <c r="BN26" s="237">
        <v>41.66</v>
      </c>
      <c r="BO26" s="237">
        <v>16</v>
      </c>
      <c r="BP26" s="237">
        <v>41.66</v>
      </c>
      <c r="BQ26" s="237">
        <v>15.7</v>
      </c>
      <c r="BR26" s="237">
        <v>41.66</v>
      </c>
      <c r="BS26" s="237">
        <v>15.3</v>
      </c>
      <c r="BT26" s="239">
        <f>AF26+AJ26+AN26+AR26+AV26+AZ26+BD26+BH26+BL26+BN26+BP26+BR26</f>
        <v>291.62</v>
      </c>
      <c r="BU26" s="239">
        <f>AH26+AL26+AP26+AT26+AX26+BB26+BF26+BJ26+BM26+BO26+BQ26+BS26</f>
        <v>235.64999999999998</v>
      </c>
      <c r="BW26" s="240"/>
      <c r="BX26" s="240"/>
      <c r="BY26" s="241">
        <f>BU26</f>
        <v>235.64999999999998</v>
      </c>
      <c r="BZ26" s="146">
        <f t="shared" si="1"/>
        <v>228.85300000000001</v>
      </c>
    </row>
    <row r="27" spans="1:78" s="242" customFormat="1" ht="14.5" thickBot="1" x14ac:dyDescent="0.35">
      <c r="B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4"/>
      <c r="AE27" s="244"/>
      <c r="AF27" s="244">
        <f>SUM(AF6:AF26)</f>
        <v>2728.6669999999999</v>
      </c>
      <c r="AG27" s="244">
        <f t="shared" ref="AG27:BU27" si="3">SUM(AG6:AG26)</f>
        <v>1680.28</v>
      </c>
      <c r="AH27" s="244">
        <f t="shared" si="3"/>
        <v>922.43174891552508</v>
      </c>
      <c r="AI27" s="245">
        <f t="shared" si="3"/>
        <v>1075.9123</v>
      </c>
      <c r="AJ27" s="244">
        <f t="shared" si="3"/>
        <v>2531.6669999999999</v>
      </c>
      <c r="AK27" s="244">
        <f t="shared" si="3"/>
        <v>2907.44</v>
      </c>
      <c r="AL27" s="244">
        <f t="shared" si="3"/>
        <v>877.26139293379026</v>
      </c>
      <c r="AM27" s="245">
        <f>SUM(AM6:AM26)</f>
        <v>967.52600000000007</v>
      </c>
      <c r="AN27" s="244">
        <f t="shared" si="3"/>
        <v>2713.6669999999999</v>
      </c>
      <c r="AO27" s="244">
        <f t="shared" si="3"/>
        <v>1409.28</v>
      </c>
      <c r="AP27" s="244">
        <f t="shared" si="3"/>
        <v>879.85965259319562</v>
      </c>
      <c r="AQ27" s="245">
        <f t="shared" si="3"/>
        <v>1012.7150000000001</v>
      </c>
      <c r="AR27" s="244">
        <f t="shared" si="3"/>
        <v>2713.6669999999999</v>
      </c>
      <c r="AS27" s="244">
        <f t="shared" si="3"/>
        <v>1602.94</v>
      </c>
      <c r="AT27" s="244">
        <f t="shared" si="3"/>
        <v>674.05507329234979</v>
      </c>
      <c r="AU27" s="245">
        <f t="shared" si="3"/>
        <v>1000.3680000000001</v>
      </c>
      <c r="AV27" s="244">
        <f t="shared" si="3"/>
        <v>2737.6669999999999</v>
      </c>
      <c r="AW27" s="244">
        <f t="shared" si="3"/>
        <v>1816.94</v>
      </c>
      <c r="AX27" s="244">
        <f t="shared" si="3"/>
        <v>765.37712913934411</v>
      </c>
      <c r="AY27" s="245">
        <f t="shared" si="3"/>
        <v>937.17099999999994</v>
      </c>
      <c r="AZ27" s="244">
        <f t="shared" si="3"/>
        <v>3379.3269999999998</v>
      </c>
      <c r="BA27" s="244">
        <f t="shared" si="3"/>
        <v>3435.33</v>
      </c>
      <c r="BB27" s="244">
        <f t="shared" si="3"/>
        <v>1083.9253869125685</v>
      </c>
      <c r="BC27" s="245">
        <f t="shared" si="3"/>
        <v>1372.1319999999998</v>
      </c>
      <c r="BD27" s="244">
        <f t="shared" si="3"/>
        <v>2935.3269999999998</v>
      </c>
      <c r="BE27" s="244">
        <f t="shared" si="3"/>
        <v>1872.827</v>
      </c>
      <c r="BF27" s="244">
        <f t="shared" si="3"/>
        <v>626.83891213797824</v>
      </c>
      <c r="BG27" s="245">
        <f t="shared" si="3"/>
        <v>868.56899999999996</v>
      </c>
      <c r="BH27" s="244">
        <f t="shared" si="3"/>
        <v>2973.3269999999998</v>
      </c>
      <c r="BI27" s="244">
        <f t="shared" si="3"/>
        <v>1910.8300000000002</v>
      </c>
      <c r="BJ27" s="244">
        <f t="shared" si="3"/>
        <v>599.26303285519123</v>
      </c>
      <c r="BK27" s="245">
        <f t="shared" si="3"/>
        <v>864.34799999999996</v>
      </c>
      <c r="BL27" s="244">
        <f t="shared" si="3"/>
        <v>2948.3269999999998</v>
      </c>
      <c r="BM27" s="245">
        <f t="shared" si="3"/>
        <v>675.45368783105039</v>
      </c>
      <c r="BN27" s="244">
        <f t="shared" si="3"/>
        <v>1885.8300000000002</v>
      </c>
      <c r="BO27" s="245">
        <f t="shared" si="3"/>
        <v>468.26827501369866</v>
      </c>
      <c r="BP27" s="244">
        <f t="shared" si="3"/>
        <v>1719.16</v>
      </c>
      <c r="BQ27" s="245">
        <f t="shared" si="3"/>
        <v>443.26759878995426</v>
      </c>
      <c r="BR27" s="244">
        <f t="shared" si="3"/>
        <v>3381.66</v>
      </c>
      <c r="BS27" s="245">
        <f t="shared" si="3"/>
        <v>1044.3509956164382</v>
      </c>
      <c r="BT27" s="244">
        <f t="shared" si="3"/>
        <v>32648.292999999998</v>
      </c>
      <c r="BU27" s="244">
        <f t="shared" si="3"/>
        <v>9060.3528860310853</v>
      </c>
      <c r="BZ27" s="146">
        <f>AI27+AM27+AQ27+AU27+AY27+BC27+BG27+BK27+BM27+BO27+BQ27+BS27</f>
        <v>10730.081857251142</v>
      </c>
    </row>
    <row r="28" spans="1:78" ht="14.5" thickTop="1" x14ac:dyDescent="0.3">
      <c r="A28" s="246" t="s">
        <v>114</v>
      </c>
      <c r="B28" s="247"/>
      <c r="C28" s="246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8"/>
      <c r="AE28" s="248"/>
      <c r="AF28" s="248"/>
      <c r="AG28" s="248"/>
      <c r="AH28" s="248"/>
      <c r="AI28" s="249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48"/>
      <c r="BI28" s="248"/>
      <c r="BJ28" s="248"/>
      <c r="BK28" s="248"/>
      <c r="BL28" s="248"/>
      <c r="BM28" s="248"/>
      <c r="BN28" s="248"/>
      <c r="BO28" s="248"/>
      <c r="BP28" s="248"/>
      <c r="BQ28" s="248"/>
      <c r="BR28" s="248"/>
      <c r="BS28" s="248"/>
      <c r="BT28" s="250"/>
      <c r="BU28" s="250"/>
    </row>
    <row r="29" spans="1:78" x14ac:dyDescent="0.3">
      <c r="A29" s="150" t="s">
        <v>64</v>
      </c>
      <c r="B29" s="151">
        <v>2000</v>
      </c>
      <c r="C29" s="150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2" t="s">
        <v>44</v>
      </c>
      <c r="AD29" s="153">
        <v>0</v>
      </c>
      <c r="AE29" s="153">
        <v>0</v>
      </c>
      <c r="AF29" s="153"/>
      <c r="AG29" s="153"/>
      <c r="AH29" s="153"/>
      <c r="AI29" s="154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>
        <v>0</v>
      </c>
      <c r="BM29" s="153">
        <v>0</v>
      </c>
      <c r="BN29" s="153">
        <v>0</v>
      </c>
      <c r="BO29" s="153">
        <f>$B$29*10.6%/366*15</f>
        <v>8.6885245901639347</v>
      </c>
      <c r="BP29" s="153">
        <v>0</v>
      </c>
      <c r="BQ29" s="153">
        <f>$B$29*10.6%/366*31</f>
        <v>17.956284153005463</v>
      </c>
      <c r="BR29" s="153"/>
      <c r="BS29" s="153">
        <f>$B$29*10.6%/366*30</f>
        <v>17.377049180327869</v>
      </c>
      <c r="BT29" s="155">
        <f>AF29+AJ29+AN29+AR29+AV29+AZ29+BD29+BH29+BL29+BN29+BP29+BR29</f>
        <v>0</v>
      </c>
      <c r="BU29" s="155">
        <f>AH29+AL29+AP29+AT29+AX29+BB29+BF29+BJ29+BM29+BO29+BQ29+BS29</f>
        <v>44.021857923497265</v>
      </c>
    </row>
    <row r="30" spans="1:78" x14ac:dyDescent="0.3">
      <c r="A30" s="150" t="s">
        <v>53</v>
      </c>
      <c r="B30" s="151">
        <v>5000</v>
      </c>
      <c r="C30" s="150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2" t="s">
        <v>50</v>
      </c>
      <c r="AD30" s="153"/>
      <c r="AE30" s="153"/>
      <c r="AF30" s="153"/>
      <c r="AG30" s="153"/>
      <c r="AH30" s="153"/>
      <c r="AI30" s="154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>
        <v>416.67</v>
      </c>
      <c r="BO30" s="153">
        <f>$B$30*11.1%/365*15</f>
        <v>22.808219178082194</v>
      </c>
      <c r="BP30" s="153">
        <v>416.67</v>
      </c>
      <c r="BQ30" s="153">
        <f>(B30-BN30)*11.1%/12</f>
        <v>42.395802500000002</v>
      </c>
      <c r="BR30" s="153">
        <v>416.67</v>
      </c>
      <c r="BS30" s="153">
        <f>($B$30-(BR30*2))*11.1%/12</f>
        <v>38.541604999999997</v>
      </c>
      <c r="BT30" s="155">
        <f>AF30+AJ30+AN30+AR30+AV30+AZ30+BD30+BH30+BL30+BN30+BP30+BR30</f>
        <v>1250.01</v>
      </c>
      <c r="BU30" s="155">
        <f>AH30+AL30+AP30+AT30+AX30+BB30+BF30+BJ30+BM30+BO30+BQ30+BS30</f>
        <v>103.7456266780822</v>
      </c>
    </row>
    <row r="31" spans="1:78" x14ac:dyDescent="0.3">
      <c r="A31" s="150" t="s">
        <v>53</v>
      </c>
      <c r="B31" s="151">
        <v>5000</v>
      </c>
      <c r="C31" s="150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2" t="s">
        <v>50</v>
      </c>
      <c r="AD31" s="153"/>
      <c r="AE31" s="153"/>
      <c r="AF31" s="153"/>
      <c r="AG31" s="153"/>
      <c r="AH31" s="153"/>
      <c r="AI31" s="154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>
        <v>83.33</v>
      </c>
      <c r="BO31" s="153">
        <f>1835*11.1%/365*15</f>
        <v>8.3706164383561639</v>
      </c>
      <c r="BP31" s="153">
        <v>83.33</v>
      </c>
      <c r="BQ31" s="153">
        <f>(1835+2623-83.33)*11.1%/12</f>
        <v>40.465697499999997</v>
      </c>
      <c r="BR31" s="153">
        <v>83.33</v>
      </c>
      <c r="BS31" s="153">
        <f>(1835+2623+960-(83.33*2))*11.1%/12</f>
        <v>48.574894999999998</v>
      </c>
      <c r="BT31" s="155">
        <f>AF31+AJ31+AN31+AR31+AV31+AZ31+BD31+BH31+BL31+BN31+BP31+BR31</f>
        <v>249.99</v>
      </c>
      <c r="BU31" s="155">
        <f>AH31+AL31+AP31+AT31+AX31+BB31+BF31+BJ31+BM31+BO31+BQ31+BS31</f>
        <v>97.411208938356168</v>
      </c>
    </row>
    <row r="32" spans="1:78" x14ac:dyDescent="0.3">
      <c r="A32" s="156" t="s">
        <v>115</v>
      </c>
      <c r="B32" s="157">
        <v>30000</v>
      </c>
      <c r="C32" s="156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8" t="s">
        <v>50</v>
      </c>
      <c r="AD32" s="159"/>
      <c r="AE32" s="159"/>
      <c r="AF32" s="159"/>
      <c r="AG32" s="159"/>
      <c r="AH32" s="159"/>
      <c r="AI32" s="160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>
        <v>500</v>
      </c>
      <c r="BO32" s="159"/>
      <c r="BP32" s="159">
        <v>500</v>
      </c>
      <c r="BQ32" s="159"/>
      <c r="BR32" s="159">
        <v>500</v>
      </c>
      <c r="BS32" s="159"/>
      <c r="BT32" s="161">
        <f>AF32+AJ32+AN32+AR32+AV32+AZ32+BD32+BH32+BL32+BN32+BP32+BR32</f>
        <v>1500</v>
      </c>
      <c r="BU32" s="161">
        <f>AH32+AL32+AP32+AT32+AX32+BB32+BF32+BJ32+BM32+BO32+BQ32+BS32</f>
        <v>0</v>
      </c>
    </row>
    <row r="33" spans="1:78" x14ac:dyDescent="0.3">
      <c r="AI33" s="162"/>
      <c r="BT33" s="149"/>
      <c r="BU33" s="149"/>
    </row>
    <row r="34" spans="1:78" x14ac:dyDescent="0.3">
      <c r="AI34" s="162"/>
      <c r="BT34" s="149"/>
      <c r="BU34" s="149"/>
    </row>
    <row r="35" spans="1:78" x14ac:dyDescent="0.3">
      <c r="A35" s="117" t="s">
        <v>116</v>
      </c>
      <c r="B35" s="118"/>
      <c r="C35" s="117"/>
      <c r="D35" s="118">
        <v>26000</v>
      </c>
      <c r="E35" s="118">
        <v>500</v>
      </c>
      <c r="F35" s="118">
        <v>582</v>
      </c>
      <c r="G35" s="118">
        <v>500</v>
      </c>
      <c r="H35" s="118">
        <v>470</v>
      </c>
      <c r="I35" s="118">
        <v>500</v>
      </c>
      <c r="J35" s="118">
        <v>549</v>
      </c>
      <c r="K35" s="118">
        <v>0</v>
      </c>
      <c r="L35" s="118">
        <v>598</v>
      </c>
      <c r="M35" s="118">
        <v>0</v>
      </c>
      <c r="N35" s="118">
        <v>521</v>
      </c>
      <c r="O35" s="118">
        <v>500</v>
      </c>
      <c r="P35" s="118">
        <v>508</v>
      </c>
      <c r="Q35" s="118">
        <v>750</v>
      </c>
      <c r="R35" s="118">
        <v>405</v>
      </c>
      <c r="S35" s="118">
        <v>750</v>
      </c>
      <c r="T35" s="118">
        <f>22500*0.2/365*31</f>
        <v>382.1917808219178</v>
      </c>
      <c r="U35" s="118">
        <v>750</v>
      </c>
      <c r="V35" s="118">
        <f>19750*0.2/365*31</f>
        <v>335.47945205479454</v>
      </c>
      <c r="W35" s="118">
        <v>750</v>
      </c>
      <c r="X35" s="118">
        <f>19000*0.2/365*31</f>
        <v>322.7397260273973</v>
      </c>
      <c r="Y35" s="118">
        <v>500</v>
      </c>
      <c r="Z35" s="118">
        <f>18500*0.2/365*31</f>
        <v>314.24657534246575</v>
      </c>
      <c r="AA35" s="118">
        <v>500</v>
      </c>
      <c r="AB35" s="119">
        <f>18000*0.2/365*31</f>
        <v>305.75342465753425</v>
      </c>
      <c r="AC35" s="119" t="s">
        <v>41</v>
      </c>
      <c r="AD35" s="141">
        <v>12192.895</v>
      </c>
      <c r="AE35" s="141">
        <v>16000</v>
      </c>
      <c r="AF35" s="120">
        <v>500</v>
      </c>
      <c r="AG35" s="120">
        <v>500</v>
      </c>
      <c r="AH35" s="120">
        <v>297.91666666666669</v>
      </c>
      <c r="AI35" s="121">
        <v>613</v>
      </c>
      <c r="AJ35" s="120">
        <v>500</v>
      </c>
      <c r="AK35" s="120">
        <v>500</v>
      </c>
      <c r="AL35" s="120">
        <v>292.5</v>
      </c>
      <c r="AM35" s="120">
        <v>718</v>
      </c>
      <c r="AN35" s="120">
        <v>500</v>
      </c>
      <c r="AO35" s="120">
        <v>500</v>
      </c>
      <c r="AP35" s="120">
        <v>287.08333333333331</v>
      </c>
      <c r="AQ35" s="120">
        <v>492.16</v>
      </c>
      <c r="AR35" s="120">
        <v>500</v>
      </c>
      <c r="AS35" s="120">
        <v>500</v>
      </c>
      <c r="AT35" s="120">
        <v>264.33333333333331</v>
      </c>
      <c r="AU35" s="120">
        <v>259.03699999999998</v>
      </c>
      <c r="AV35" s="120">
        <v>500</v>
      </c>
      <c r="AW35" s="120">
        <v>500</v>
      </c>
      <c r="AX35" s="120">
        <v>259.25</v>
      </c>
      <c r="AY35" s="120">
        <v>231.00846000000001</v>
      </c>
      <c r="AZ35" s="120">
        <v>500</v>
      </c>
      <c r="BA35" s="120">
        <v>500</v>
      </c>
      <c r="BB35" s="120">
        <v>221.875</v>
      </c>
      <c r="BC35" s="120">
        <v>186.46799999999999</v>
      </c>
      <c r="BD35" s="120">
        <v>500</v>
      </c>
      <c r="BE35" s="120">
        <v>500</v>
      </c>
      <c r="BF35" s="120">
        <v>217.4375</v>
      </c>
      <c r="BG35" s="120">
        <v>198.73099999999999</v>
      </c>
      <c r="BH35" s="120">
        <v>500</v>
      </c>
      <c r="BI35" s="120">
        <v>500</v>
      </c>
      <c r="BJ35" s="120">
        <v>213</v>
      </c>
      <c r="BK35" s="120">
        <v>69.628</v>
      </c>
      <c r="BL35" s="120">
        <v>453</v>
      </c>
      <c r="BM35" s="120">
        <v>75</v>
      </c>
      <c r="BN35" s="120">
        <v>446</v>
      </c>
      <c r="BO35" s="120">
        <v>75</v>
      </c>
      <c r="BP35" s="120">
        <v>354</v>
      </c>
      <c r="BQ35" s="120">
        <v>75</v>
      </c>
      <c r="BR35" s="120">
        <v>424</v>
      </c>
      <c r="BS35" s="120">
        <v>75</v>
      </c>
      <c r="BT35" s="122">
        <f>AF35+AJ35+AN35+AR35+AV35+AZ35+BD35+BH35+BL35+BN35+BP35+BR35</f>
        <v>5677</v>
      </c>
      <c r="BU35" s="122">
        <f>AH35+AL35+AP35+AT35+AX35+BB35+BF35+BJ35+BM35+BO35+BQ35+BS35</f>
        <v>2353.395833333333</v>
      </c>
      <c r="BW35" s="36"/>
      <c r="BX35" s="36"/>
      <c r="BY35" s="48">
        <f>BU35</f>
        <v>2353.395833333333</v>
      </c>
      <c r="BZ35" s="16">
        <f t="shared" ref="BZ35" si="4">AI35+AM35+AQ35+AU35+AY35+BC35+BG35+BK35+BM35+BO35+BQ35+BS35</f>
        <v>3068.0324599999999</v>
      </c>
    </row>
    <row r="36" spans="1:78" x14ac:dyDescent="0.3">
      <c r="BT36" s="149"/>
      <c r="BU36" s="149"/>
    </row>
    <row r="37" spans="1:78" x14ac:dyDescent="0.3">
      <c r="BT37" s="149"/>
      <c r="BU37" s="149"/>
    </row>
    <row r="38" spans="1:78" x14ac:dyDescent="0.3">
      <c r="A38" s="14" t="s">
        <v>68</v>
      </c>
      <c r="BT38" s="149"/>
      <c r="BU38" s="149"/>
    </row>
    <row r="39" spans="1:78" x14ac:dyDescent="0.3">
      <c r="A39" s="16" t="s">
        <v>117</v>
      </c>
      <c r="BT39" s="149"/>
      <c r="BU39" s="149"/>
    </row>
    <row r="42" spans="1:78" x14ac:dyDescent="0.3">
      <c r="AD42" s="108" t="s">
        <v>118</v>
      </c>
      <c r="AE42" s="108">
        <v>613</v>
      </c>
      <c r="AF42" s="108">
        <v>718</v>
      </c>
      <c r="AG42" s="108">
        <v>492.16</v>
      </c>
      <c r="AH42" s="108">
        <v>259.03699999999998</v>
      </c>
      <c r="AI42" s="108">
        <v>231.00846000000001</v>
      </c>
      <c r="AJ42" s="108">
        <v>186.46799999999999</v>
      </c>
      <c r="AK42" s="108">
        <v>198.73099999999999</v>
      </c>
      <c r="AL42" s="108">
        <v>69.628</v>
      </c>
      <c r="AM42" s="108">
        <v>75</v>
      </c>
      <c r="AN42" s="108">
        <v>75</v>
      </c>
      <c r="AO42" s="108">
        <v>75</v>
      </c>
      <c r="AP42" s="108">
        <v>75</v>
      </c>
      <c r="AQ42" s="108">
        <f>SUM(AE42:AP42)</f>
        <v>3068.0324599999999</v>
      </c>
    </row>
  </sheetData>
  <mergeCells count="34">
    <mergeCell ref="A2:AB2"/>
    <mergeCell ref="AF2:BS2"/>
    <mergeCell ref="BW2:BY2"/>
    <mergeCell ref="A3:A5"/>
    <mergeCell ref="B3:B5"/>
    <mergeCell ref="C3:C5"/>
    <mergeCell ref="D3:D5"/>
    <mergeCell ref="E3:F3"/>
    <mergeCell ref="G3:H3"/>
    <mergeCell ref="I3:J3"/>
    <mergeCell ref="AE3:AE5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C5"/>
    <mergeCell ref="AD3:AD5"/>
    <mergeCell ref="BR3:BS3"/>
    <mergeCell ref="AF3:AI3"/>
    <mergeCell ref="AJ3:AM3"/>
    <mergeCell ref="AN3:AQ3"/>
    <mergeCell ref="AR3:AU3"/>
    <mergeCell ref="AV3:AY3"/>
    <mergeCell ref="AZ3:BC3"/>
    <mergeCell ref="BD3:BG3"/>
    <mergeCell ref="BH3:BK3"/>
    <mergeCell ref="BL3:BM3"/>
    <mergeCell ref="BN3:BO3"/>
    <mergeCell ref="BP3:BQ3"/>
  </mergeCells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 Finance cost for BST -2025</vt:lpstr>
      <vt:lpstr>Annex 01 (3)</vt:lpstr>
      <vt:lpstr>Project Loan </vt:lpstr>
      <vt:lpstr>Sheet1 (2)</vt:lpstr>
      <vt:lpstr>Sheet1</vt:lpstr>
      <vt:lpstr>Annex 01 (2)</vt:lpstr>
      <vt:lpstr>Finance Cost</vt:lpstr>
      <vt:lpstr>Finance Cost -New</vt:lpstr>
      <vt:lpstr>Repayment</vt:lpstr>
      <vt:lpstr> Finance cost for BST -2024 (2)</vt:lpstr>
      <vt:lpstr>' Finance cost for BST -2025'!Print_Area</vt:lpstr>
      <vt:lpstr>'Project Loan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Kanchana Wanninayake</dc:creator>
  <cp:lastModifiedBy>Vishmi Nisansani</cp:lastModifiedBy>
  <cp:lastPrinted>2024-12-12T10:45:45Z</cp:lastPrinted>
  <dcterms:created xsi:type="dcterms:W3CDTF">2024-06-04T09:14:56Z</dcterms:created>
  <dcterms:modified xsi:type="dcterms:W3CDTF">2024-12-12T10:49:40Z</dcterms:modified>
</cp:coreProperties>
</file>