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1B4A71E2-F95D-4D2C-B063-0FAE4A0DAC0E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Sheet4" sheetId="7" r:id="rId1"/>
    <sheet name="Sheet2 (2)" sheetId="3" state="hidden" r:id="rId2"/>
    <sheet name="Sheet2 (3)" sheetId="4" state="hidden" r:id="rId3"/>
    <sheet name="Sheet2 (4)" sheetId="5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1" i="7" l="1"/>
  <c r="Y53" i="7"/>
  <c r="Z71" i="7"/>
  <c r="Z15" i="7"/>
  <c r="Z21" i="7"/>
  <c r="Z35" i="7"/>
  <c r="Z40" i="7"/>
  <c r="Z54" i="7"/>
  <c r="Z66" i="7"/>
  <c r="Z63" i="7"/>
  <c r="Z64" i="7"/>
  <c r="Z65" i="7"/>
  <c r="Z67" i="7"/>
  <c r="Z68" i="7"/>
  <c r="Z69" i="7"/>
  <c r="Z70" i="7"/>
  <c r="Z62" i="7"/>
  <c r="Z51" i="7"/>
  <c r="Z52" i="7"/>
  <c r="Z53" i="7"/>
  <c r="Z55" i="7"/>
  <c r="Z56" i="7"/>
  <c r="Z57" i="7"/>
  <c r="Z58" i="7"/>
  <c r="Z59" i="7"/>
  <c r="Z60" i="7"/>
  <c r="Z50" i="7"/>
  <c r="Z46" i="7"/>
  <c r="Z47" i="7"/>
  <c r="Z48" i="7"/>
  <c r="Z45" i="7"/>
  <c r="Z39" i="7"/>
  <c r="Z41" i="7"/>
  <c r="Z42" i="7"/>
  <c r="Z43" i="7"/>
  <c r="Z38" i="7"/>
  <c r="Z32" i="7"/>
  <c r="Z33" i="7"/>
  <c r="Z34" i="7"/>
  <c r="Z36" i="7"/>
  <c r="Z31" i="7"/>
  <c r="Z27" i="7"/>
  <c r="Z28" i="7"/>
  <c r="Z29" i="7"/>
  <c r="Z26" i="7"/>
  <c r="Z12" i="7"/>
  <c r="Z13" i="7"/>
  <c r="Z14" i="7"/>
  <c r="Z16" i="7"/>
  <c r="Z17" i="7"/>
  <c r="Z18" i="7"/>
  <c r="Z19" i="7"/>
  <c r="Z20" i="7"/>
  <c r="Z22" i="7"/>
  <c r="Z23" i="7"/>
  <c r="Z24" i="7"/>
  <c r="Z11" i="7"/>
  <c r="Z4" i="7"/>
  <c r="Z5" i="7"/>
  <c r="Z6" i="7"/>
  <c r="Z7" i="7"/>
  <c r="Z8" i="7"/>
  <c r="Z9" i="7"/>
  <c r="Z3" i="7"/>
  <c r="Y70" i="7"/>
  <c r="Y68" i="7"/>
  <c r="Y67" i="7"/>
  <c r="Y65" i="7"/>
  <c r="Y60" i="7"/>
  <c r="Y55" i="7"/>
  <c r="Y48" i="7"/>
  <c r="Y42" i="7"/>
  <c r="Y41" i="7"/>
  <c r="Y38" i="7"/>
  <c r="Y36" i="7"/>
  <c r="Y34" i="7"/>
  <c r="Y29" i="7"/>
  <c r="Y23" i="7"/>
  <c r="Y22" i="7"/>
  <c r="Y17" i="7"/>
  <c r="Y18" i="7"/>
  <c r="Y19" i="7"/>
  <c r="Y20" i="7"/>
  <c r="Y16" i="7"/>
  <c r="Y14" i="7"/>
  <c r="Y4" i="7"/>
  <c r="Y5" i="7"/>
  <c r="Y6" i="7"/>
  <c r="Y7" i="7"/>
  <c r="Y8" i="7"/>
  <c r="Y3" i="7"/>
  <c r="Y39" i="7"/>
  <c r="X68" i="7"/>
  <c r="X67" i="7"/>
  <c r="X64" i="7"/>
  <c r="X63" i="7"/>
  <c r="X62" i="7"/>
  <c r="X59" i="7"/>
  <c r="X58" i="7"/>
  <c r="X57" i="7"/>
  <c r="X56" i="7"/>
  <c r="X55" i="7"/>
  <c r="X52" i="7"/>
  <c r="X51" i="7"/>
  <c r="X50" i="7"/>
  <c r="X47" i="7"/>
  <c r="X46" i="7"/>
  <c r="X45" i="7"/>
  <c r="X42" i="7"/>
  <c r="X41" i="7"/>
  <c r="X39" i="7"/>
  <c r="X38" i="7"/>
  <c r="X36" i="7"/>
  <c r="X33" i="7"/>
  <c r="X32" i="7"/>
  <c r="X31" i="7"/>
  <c r="X28" i="7"/>
  <c r="X27" i="7"/>
  <c r="X26" i="7"/>
  <c r="X24" i="7"/>
  <c r="X23" i="7"/>
  <c r="X22" i="7"/>
  <c r="X20" i="7"/>
  <c r="X19" i="7"/>
  <c r="X18" i="7"/>
  <c r="X17" i="7"/>
  <c r="X16" i="7"/>
  <c r="X13" i="7"/>
  <c r="X12" i="7"/>
  <c r="X11" i="7"/>
  <c r="X8" i="7"/>
  <c r="X7" i="7"/>
  <c r="X6" i="7"/>
  <c r="X5" i="7"/>
  <c r="X4" i="7"/>
  <c r="X3" i="7"/>
  <c r="X70" i="7"/>
  <c r="V68" i="7"/>
  <c r="V67" i="7"/>
  <c r="V64" i="7"/>
  <c r="V63" i="7"/>
  <c r="V62" i="7"/>
  <c r="V59" i="7"/>
  <c r="V58" i="7"/>
  <c r="V57" i="7"/>
  <c r="V56" i="7"/>
  <c r="V55" i="7"/>
  <c r="V52" i="7"/>
  <c r="V51" i="7"/>
  <c r="V50" i="7"/>
  <c r="V47" i="7"/>
  <c r="V46" i="7"/>
  <c r="V45" i="7"/>
  <c r="V42" i="7"/>
  <c r="V41" i="7"/>
  <c r="V40" i="7"/>
  <c r="V39" i="7"/>
  <c r="V38" i="7"/>
  <c r="V36" i="7"/>
  <c r="V33" i="7"/>
  <c r="V32" i="7"/>
  <c r="V31" i="7"/>
  <c r="V28" i="7"/>
  <c r="V27" i="7"/>
  <c r="V26" i="7"/>
  <c r="V23" i="7"/>
  <c r="V22" i="7"/>
  <c r="V21" i="7"/>
  <c r="V20" i="7"/>
  <c r="V19" i="7"/>
  <c r="V18" i="7"/>
  <c r="V17" i="7"/>
  <c r="V16" i="7"/>
  <c r="V13" i="7"/>
  <c r="V12" i="7"/>
  <c r="V11" i="7"/>
  <c r="V8" i="7"/>
  <c r="V7" i="7"/>
  <c r="V6" i="7"/>
  <c r="V5" i="7"/>
  <c r="V4" i="7"/>
  <c r="V3" i="7"/>
  <c r="V70" i="7"/>
  <c r="T68" i="7"/>
  <c r="T67" i="7"/>
  <c r="T64" i="7"/>
  <c r="T63" i="7"/>
  <c r="T62" i="7"/>
  <c r="T59" i="7"/>
  <c r="T58" i="7"/>
  <c r="T57" i="7"/>
  <c r="T56" i="7"/>
  <c r="T55" i="7"/>
  <c r="T52" i="7"/>
  <c r="T51" i="7"/>
  <c r="T50" i="7"/>
  <c r="T47" i="7"/>
  <c r="T46" i="7"/>
  <c r="T45" i="7"/>
  <c r="T42" i="7"/>
  <c r="T41" i="7"/>
  <c r="T39" i="7"/>
  <c r="T38" i="7"/>
  <c r="T36" i="7"/>
  <c r="T33" i="7"/>
  <c r="T32" i="7"/>
  <c r="T31" i="7"/>
  <c r="T28" i="7"/>
  <c r="T27" i="7"/>
  <c r="T26" i="7"/>
  <c r="T23" i="7"/>
  <c r="T22" i="7"/>
  <c r="T20" i="7"/>
  <c r="T19" i="7"/>
  <c r="T18" i="7"/>
  <c r="T17" i="7"/>
  <c r="T16" i="7"/>
  <c r="T13" i="7"/>
  <c r="T12" i="7"/>
  <c r="T11" i="7"/>
  <c r="T8" i="7"/>
  <c r="T7" i="7"/>
  <c r="T6" i="7"/>
  <c r="T5" i="7"/>
  <c r="T4" i="7"/>
  <c r="T3" i="7"/>
  <c r="T70" i="7"/>
  <c r="R68" i="7"/>
  <c r="R67" i="7"/>
  <c r="R65" i="7"/>
  <c r="R64" i="7"/>
  <c r="R63" i="7"/>
  <c r="R62" i="7"/>
  <c r="R59" i="7"/>
  <c r="R58" i="7"/>
  <c r="R57" i="7"/>
  <c r="R56" i="7"/>
  <c r="R55" i="7"/>
  <c r="R52" i="7"/>
  <c r="R51" i="7"/>
  <c r="R50" i="7"/>
  <c r="R47" i="7"/>
  <c r="R46" i="7"/>
  <c r="R45" i="7"/>
  <c r="R42" i="7"/>
  <c r="R41" i="7"/>
  <c r="R39" i="7"/>
  <c r="R38" i="7"/>
  <c r="R36" i="7"/>
  <c r="R33" i="7"/>
  <c r="R32" i="7"/>
  <c r="R31" i="7"/>
  <c r="R28" i="7"/>
  <c r="R27" i="7"/>
  <c r="R26" i="7"/>
  <c r="R23" i="7"/>
  <c r="R22" i="7"/>
  <c r="R20" i="7"/>
  <c r="R19" i="7"/>
  <c r="R18" i="7"/>
  <c r="R17" i="7"/>
  <c r="R16" i="7"/>
  <c r="R13" i="7"/>
  <c r="R12" i="7"/>
  <c r="R11" i="7"/>
  <c r="R8" i="7"/>
  <c r="R7" i="7"/>
  <c r="R6" i="7"/>
  <c r="R5" i="7"/>
  <c r="R4" i="7"/>
  <c r="R3" i="7"/>
  <c r="R70" i="7"/>
  <c r="P68" i="7"/>
  <c r="P67" i="7"/>
  <c r="P64" i="7"/>
  <c r="P63" i="7"/>
  <c r="P62" i="7"/>
  <c r="P59" i="7"/>
  <c r="P58" i="7"/>
  <c r="P57" i="7"/>
  <c r="P56" i="7"/>
  <c r="P55" i="7"/>
  <c r="P52" i="7"/>
  <c r="P51" i="7"/>
  <c r="P50" i="7"/>
  <c r="P47" i="7"/>
  <c r="P46" i="7"/>
  <c r="P45" i="7"/>
  <c r="P42" i="7"/>
  <c r="P41" i="7"/>
  <c r="P39" i="7"/>
  <c r="P38" i="7"/>
  <c r="P36" i="7"/>
  <c r="P33" i="7"/>
  <c r="P32" i="7"/>
  <c r="P31" i="7"/>
  <c r="P28" i="7"/>
  <c r="P27" i="7"/>
  <c r="P26" i="7"/>
  <c r="P23" i="7"/>
  <c r="P22" i="7"/>
  <c r="P20" i="7"/>
  <c r="P19" i="7"/>
  <c r="P18" i="7"/>
  <c r="P17" i="7"/>
  <c r="P16" i="7"/>
  <c r="P13" i="7"/>
  <c r="P12" i="7"/>
  <c r="P11" i="7"/>
  <c r="P8" i="7"/>
  <c r="P7" i="7"/>
  <c r="P6" i="7"/>
  <c r="P5" i="7"/>
  <c r="P4" i="7"/>
  <c r="P3" i="7"/>
  <c r="P70" i="7"/>
  <c r="N68" i="7"/>
  <c r="N67" i="7"/>
  <c r="N64" i="7"/>
  <c r="N63" i="7"/>
  <c r="N62" i="7"/>
  <c r="N59" i="7"/>
  <c r="N58" i="7"/>
  <c r="N57" i="7"/>
  <c r="N56" i="7"/>
  <c r="N55" i="7"/>
  <c r="N52" i="7"/>
  <c r="N51" i="7"/>
  <c r="N50" i="7"/>
  <c r="N47" i="7"/>
  <c r="N46" i="7"/>
  <c r="N45" i="7"/>
  <c r="N42" i="7"/>
  <c r="N41" i="7"/>
  <c r="N39" i="7"/>
  <c r="N38" i="7"/>
  <c r="N36" i="7"/>
  <c r="N33" i="7"/>
  <c r="N32" i="7"/>
  <c r="N31" i="7"/>
  <c r="N28" i="7"/>
  <c r="N27" i="7"/>
  <c r="N26" i="7"/>
  <c r="N23" i="7"/>
  <c r="N22" i="7"/>
  <c r="N20" i="7"/>
  <c r="N19" i="7"/>
  <c r="N18" i="7"/>
  <c r="N17" i="7"/>
  <c r="N16" i="7"/>
  <c r="N13" i="7"/>
  <c r="N12" i="7"/>
  <c r="N11" i="7"/>
  <c r="N8" i="7"/>
  <c r="N7" i="7"/>
  <c r="N6" i="7"/>
  <c r="N5" i="7"/>
  <c r="N4" i="7"/>
  <c r="N3" i="7"/>
  <c r="N70" i="7"/>
  <c r="L68" i="7"/>
  <c r="L67" i="7"/>
  <c r="L64" i="7"/>
  <c r="L63" i="7"/>
  <c r="L62" i="7"/>
  <c r="L59" i="7"/>
  <c r="L58" i="7"/>
  <c r="L57" i="7"/>
  <c r="L56" i="7"/>
  <c r="L55" i="7"/>
  <c r="L52" i="7"/>
  <c r="L51" i="7"/>
  <c r="L50" i="7"/>
  <c r="L47" i="7"/>
  <c r="L46" i="7"/>
  <c r="L45" i="7"/>
  <c r="L42" i="7"/>
  <c r="L41" i="7"/>
  <c r="L39" i="7"/>
  <c r="L38" i="7"/>
  <c r="L36" i="7"/>
  <c r="L33" i="7"/>
  <c r="L32" i="7"/>
  <c r="L31" i="7"/>
  <c r="L28" i="7"/>
  <c r="L27" i="7"/>
  <c r="L26" i="7"/>
  <c r="L23" i="7"/>
  <c r="L22" i="7"/>
  <c r="L20" i="7"/>
  <c r="L19" i="7"/>
  <c r="L18" i="7"/>
  <c r="L17" i="7"/>
  <c r="L16" i="7"/>
  <c r="L14" i="7"/>
  <c r="L13" i="7"/>
  <c r="L12" i="7"/>
  <c r="L11" i="7"/>
  <c r="L8" i="7"/>
  <c r="L7" i="7"/>
  <c r="L6" i="7"/>
  <c r="L5" i="7"/>
  <c r="L4" i="7"/>
  <c r="L3" i="7"/>
  <c r="L70" i="7"/>
  <c r="J70" i="7"/>
  <c r="J68" i="7"/>
  <c r="J67" i="7"/>
  <c r="J64" i="7"/>
  <c r="J63" i="7"/>
  <c r="J62" i="7"/>
  <c r="J59" i="7"/>
  <c r="J58" i="7"/>
  <c r="J57" i="7"/>
  <c r="J56" i="7"/>
  <c r="J55" i="7"/>
  <c r="J52" i="7"/>
  <c r="J51" i="7"/>
  <c r="J50" i="7"/>
  <c r="J47" i="7"/>
  <c r="J46" i="7"/>
  <c r="J45" i="7"/>
  <c r="J42" i="7"/>
  <c r="J41" i="7"/>
  <c r="J39" i="7"/>
  <c r="J38" i="7"/>
  <c r="J36" i="7"/>
  <c r="J34" i="7"/>
  <c r="J33" i="7"/>
  <c r="J32" i="7"/>
  <c r="J31" i="7"/>
  <c r="J28" i="7"/>
  <c r="J27" i="7"/>
  <c r="J26" i="7"/>
  <c r="J23" i="7"/>
  <c r="J22" i="7"/>
  <c r="J20" i="7"/>
  <c r="J19" i="7"/>
  <c r="J18" i="7"/>
  <c r="J17" i="7"/>
  <c r="J16" i="7"/>
  <c r="J13" i="7"/>
  <c r="J12" i="7"/>
  <c r="J11" i="7"/>
  <c r="J8" i="7"/>
  <c r="J7" i="7"/>
  <c r="J6" i="7"/>
  <c r="J5" i="7"/>
  <c r="J4" i="7"/>
  <c r="J3" i="7"/>
  <c r="H70" i="7"/>
  <c r="H68" i="7"/>
  <c r="H67" i="7"/>
  <c r="H64" i="7"/>
  <c r="H63" i="7"/>
  <c r="H62" i="7"/>
  <c r="H59" i="7"/>
  <c r="H58" i="7"/>
  <c r="H57" i="7"/>
  <c r="H55" i="7"/>
  <c r="H52" i="7"/>
  <c r="H51" i="7"/>
  <c r="H50" i="7"/>
  <c r="H47" i="7"/>
  <c r="H46" i="7"/>
  <c r="H45" i="7"/>
  <c r="H42" i="7"/>
  <c r="H41" i="7"/>
  <c r="H39" i="7"/>
  <c r="H38" i="7"/>
  <c r="H36" i="7"/>
  <c r="H34" i="7"/>
  <c r="H33" i="7"/>
  <c r="H32" i="7"/>
  <c r="H31" i="7"/>
  <c r="H28" i="7"/>
  <c r="H27" i="7"/>
  <c r="H23" i="7"/>
  <c r="H22" i="7"/>
  <c r="H20" i="7"/>
  <c r="H19" i="7"/>
  <c r="H18" i="7"/>
  <c r="H17" i="7"/>
  <c r="H16" i="7"/>
  <c r="H13" i="7"/>
  <c r="H12" i="7"/>
  <c r="H11" i="7"/>
  <c r="H8" i="7"/>
  <c r="H7" i="7"/>
  <c r="H6" i="7"/>
  <c r="H5" i="7"/>
  <c r="H4" i="7"/>
  <c r="H3" i="7"/>
  <c r="F70" i="7"/>
  <c r="F68" i="7"/>
  <c r="F67" i="7"/>
  <c r="F64" i="7"/>
  <c r="F63" i="7"/>
  <c r="F62" i="7"/>
  <c r="F59" i="7"/>
  <c r="F58" i="7"/>
  <c r="F57" i="7"/>
  <c r="F55" i="7"/>
  <c r="F52" i="7"/>
  <c r="F51" i="7"/>
  <c r="F50" i="7"/>
  <c r="F47" i="7"/>
  <c r="F46" i="7"/>
  <c r="F45" i="7"/>
  <c r="F42" i="7"/>
  <c r="F41" i="7"/>
  <c r="F39" i="7"/>
  <c r="F38" i="7"/>
  <c r="F36" i="7"/>
  <c r="F33" i="7"/>
  <c r="F32" i="7"/>
  <c r="F31" i="7"/>
  <c r="F28" i="7"/>
  <c r="F27" i="7"/>
  <c r="F26" i="7"/>
  <c r="F23" i="7"/>
  <c r="F22" i="7"/>
  <c r="F20" i="7"/>
  <c r="F19" i="7"/>
  <c r="F18" i="7"/>
  <c r="F17" i="7"/>
  <c r="F16" i="7"/>
  <c r="F13" i="7"/>
  <c r="F12" i="7"/>
  <c r="F11" i="7"/>
  <c r="F8" i="7"/>
  <c r="F7" i="7"/>
  <c r="F6" i="7"/>
  <c r="F5" i="7"/>
  <c r="F3" i="7"/>
  <c r="E70" i="7"/>
  <c r="E68" i="7"/>
  <c r="E67" i="7"/>
  <c r="E65" i="7"/>
  <c r="E60" i="7"/>
  <c r="E55" i="7"/>
  <c r="E53" i="7"/>
  <c r="E48" i="7"/>
  <c r="E42" i="7"/>
  <c r="E41" i="7"/>
  <c r="E39" i="7"/>
  <c r="E38" i="7"/>
  <c r="E36" i="7"/>
  <c r="E34" i="7"/>
  <c r="E29" i="7"/>
  <c r="E23" i="7"/>
  <c r="E22" i="7"/>
  <c r="E20" i="7"/>
  <c r="E19" i="7"/>
  <c r="E18" i="7"/>
  <c r="E17" i="7"/>
  <c r="E16" i="7"/>
  <c r="E14" i="7"/>
  <c r="E8" i="7"/>
  <c r="E7" i="7"/>
  <c r="E6" i="7"/>
  <c r="E5" i="7"/>
  <c r="E4" i="7"/>
  <c r="E3" i="7"/>
  <c r="G70" i="7"/>
  <c r="G68" i="7"/>
  <c r="G67" i="7"/>
  <c r="G65" i="7"/>
  <c r="G60" i="7"/>
  <c r="G55" i="7"/>
  <c r="G53" i="7"/>
  <c r="G48" i="7"/>
  <c r="G42" i="7"/>
  <c r="G41" i="7"/>
  <c r="G39" i="7"/>
  <c r="G38" i="7"/>
  <c r="G36" i="7"/>
  <c r="G34" i="7"/>
  <c r="G29" i="7"/>
  <c r="G23" i="7"/>
  <c r="G22" i="7"/>
  <c r="G20" i="7"/>
  <c r="G19" i="7"/>
  <c r="G18" i="7"/>
  <c r="G17" i="7"/>
  <c r="G16" i="7"/>
  <c r="G14" i="7"/>
  <c r="G8" i="7"/>
  <c r="G7" i="7"/>
  <c r="G6" i="7"/>
  <c r="G5" i="7"/>
  <c r="G4" i="7"/>
  <c r="G3" i="7"/>
  <c r="W70" i="7"/>
  <c r="W68" i="7"/>
  <c r="W67" i="7"/>
  <c r="W65" i="7"/>
  <c r="W60" i="7"/>
  <c r="W55" i="7"/>
  <c r="W53" i="7"/>
  <c r="W48" i="7"/>
  <c r="W42" i="7"/>
  <c r="W41" i="7"/>
  <c r="W39" i="7"/>
  <c r="W38" i="7"/>
  <c r="W36" i="7"/>
  <c r="W34" i="7"/>
  <c r="W29" i="7"/>
  <c r="W23" i="7"/>
  <c r="W22" i="7"/>
  <c r="W20" i="7"/>
  <c r="W19" i="7"/>
  <c r="W18" i="7"/>
  <c r="W17" i="7"/>
  <c r="W16" i="7"/>
  <c r="W14" i="7"/>
  <c r="W8" i="7"/>
  <c r="W7" i="7"/>
  <c r="W6" i="7"/>
  <c r="W5" i="7"/>
  <c r="W4" i="7"/>
  <c r="W3" i="7"/>
  <c r="U70" i="7"/>
  <c r="U68" i="7"/>
  <c r="U67" i="7"/>
  <c r="U65" i="7"/>
  <c r="U60" i="7"/>
  <c r="U55" i="7"/>
  <c r="U53" i="7"/>
  <c r="U48" i="7"/>
  <c r="U42" i="7"/>
  <c r="U41" i="7"/>
  <c r="U39" i="7"/>
  <c r="U38" i="7"/>
  <c r="U36" i="7"/>
  <c r="U34" i="7"/>
  <c r="U29" i="7"/>
  <c r="U23" i="7"/>
  <c r="U22" i="7"/>
  <c r="U20" i="7"/>
  <c r="U19" i="7"/>
  <c r="U18" i="7"/>
  <c r="U17" i="7"/>
  <c r="U16" i="7"/>
  <c r="U14" i="7"/>
  <c r="U8" i="7"/>
  <c r="U7" i="7"/>
  <c r="U6" i="7"/>
  <c r="U5" i="7"/>
  <c r="U4" i="7"/>
  <c r="U3" i="7"/>
  <c r="S70" i="7"/>
  <c r="S68" i="7"/>
  <c r="S67" i="7"/>
  <c r="S65" i="7"/>
  <c r="S60" i="7"/>
  <c r="S55" i="7"/>
  <c r="S53" i="7"/>
  <c r="S48" i="7"/>
  <c r="S42" i="7"/>
  <c r="S41" i="7"/>
  <c r="S39" i="7"/>
  <c r="S38" i="7"/>
  <c r="S36" i="7"/>
  <c r="S34" i="7"/>
  <c r="S29" i="7"/>
  <c r="S23" i="7"/>
  <c r="S22" i="7"/>
  <c r="S20" i="7"/>
  <c r="S19" i="7"/>
  <c r="S18" i="7"/>
  <c r="S17" i="7"/>
  <c r="S16" i="7"/>
  <c r="S14" i="7"/>
  <c r="S8" i="7"/>
  <c r="S7" i="7"/>
  <c r="S6" i="7"/>
  <c r="S5" i="7"/>
  <c r="S4" i="7"/>
  <c r="S3" i="7"/>
  <c r="Q70" i="7"/>
  <c r="Q68" i="7"/>
  <c r="Q67" i="7"/>
  <c r="Q65" i="7"/>
  <c r="Q60" i="7"/>
  <c r="Q55" i="7"/>
  <c r="Q53" i="7"/>
  <c r="Q48" i="7"/>
  <c r="Q42" i="7"/>
  <c r="Q41" i="7"/>
  <c r="Q39" i="7"/>
  <c r="Q38" i="7"/>
  <c r="Q36" i="7"/>
  <c r="Q34" i="7"/>
  <c r="Q29" i="7"/>
  <c r="Q23" i="7"/>
  <c r="Q22" i="7"/>
  <c r="Q20" i="7"/>
  <c r="Q19" i="7"/>
  <c r="Q18" i="7"/>
  <c r="Q17" i="7"/>
  <c r="Q16" i="7"/>
  <c r="Q14" i="7"/>
  <c r="Q8" i="7"/>
  <c r="Q7" i="7"/>
  <c r="Q6" i="7"/>
  <c r="Q5" i="7"/>
  <c r="Q4" i="7"/>
  <c r="Q3" i="7"/>
  <c r="O70" i="7"/>
  <c r="O68" i="7"/>
  <c r="O67" i="7"/>
  <c r="O65" i="7"/>
  <c r="O60" i="7"/>
  <c r="O55" i="7"/>
  <c r="O53" i="7"/>
  <c r="O48" i="7"/>
  <c r="O42" i="7"/>
  <c r="O41" i="7"/>
  <c r="O39" i="7"/>
  <c r="O38" i="7"/>
  <c r="O36" i="7"/>
  <c r="O34" i="7"/>
  <c r="O29" i="7"/>
  <c r="O23" i="7"/>
  <c r="O22" i="7"/>
  <c r="O20" i="7"/>
  <c r="O19" i="7"/>
  <c r="O18" i="7"/>
  <c r="O17" i="7"/>
  <c r="O16" i="7"/>
  <c r="O14" i="7"/>
  <c r="O8" i="7"/>
  <c r="O7" i="7"/>
  <c r="O6" i="7"/>
  <c r="O5" i="7"/>
  <c r="O4" i="7"/>
  <c r="O3" i="7"/>
  <c r="M70" i="7"/>
  <c r="M68" i="7"/>
  <c r="M67" i="7"/>
  <c r="M65" i="7"/>
  <c r="M60" i="7"/>
  <c r="M55" i="7"/>
  <c r="M53" i="7"/>
  <c r="M48" i="7"/>
  <c r="M42" i="7"/>
  <c r="M41" i="7"/>
  <c r="M39" i="7"/>
  <c r="M38" i="7"/>
  <c r="M36" i="7"/>
  <c r="M34" i="7"/>
  <c r="M29" i="7"/>
  <c r="M23" i="7"/>
  <c r="M22" i="7"/>
  <c r="M20" i="7"/>
  <c r="M19" i="7"/>
  <c r="M18" i="7"/>
  <c r="M17" i="7"/>
  <c r="M16" i="7"/>
  <c r="M14" i="7"/>
  <c r="M8" i="7"/>
  <c r="M7" i="7"/>
  <c r="M6" i="7"/>
  <c r="M5" i="7"/>
  <c r="M4" i="7"/>
  <c r="M3" i="7"/>
  <c r="K70" i="7"/>
  <c r="K68" i="7"/>
  <c r="K67" i="7"/>
  <c r="K65" i="7"/>
  <c r="K60" i="7"/>
  <c r="K55" i="7"/>
  <c r="K53" i="7"/>
  <c r="K48" i="7"/>
  <c r="K42" i="7"/>
  <c r="K41" i="7"/>
  <c r="K39" i="7"/>
  <c r="K38" i="7"/>
  <c r="K36" i="7"/>
  <c r="K34" i="7"/>
  <c r="K29" i="7"/>
  <c r="K23" i="7"/>
  <c r="K22" i="7"/>
  <c r="K20" i="7"/>
  <c r="K19" i="7"/>
  <c r="K18" i="7"/>
  <c r="K17" i="7"/>
  <c r="K16" i="7"/>
  <c r="K14" i="7"/>
  <c r="K4" i="7"/>
  <c r="K5" i="7"/>
  <c r="K6" i="7"/>
  <c r="K7" i="7"/>
  <c r="K8" i="7"/>
  <c r="K3" i="7"/>
  <c r="I70" i="7"/>
  <c r="I68" i="7"/>
  <c r="I67" i="7"/>
  <c r="I65" i="7"/>
  <c r="I60" i="7"/>
  <c r="I55" i="7"/>
  <c r="I53" i="7"/>
  <c r="I48" i="7"/>
  <c r="I42" i="7"/>
  <c r="I41" i="7"/>
  <c r="I39" i="7"/>
  <c r="I38" i="7"/>
  <c r="I36" i="7"/>
  <c r="I34" i="7"/>
  <c r="I29" i="7"/>
  <c r="I23" i="7"/>
  <c r="I22" i="7"/>
  <c r="I20" i="7"/>
  <c r="I19" i="7"/>
  <c r="I18" i="7"/>
  <c r="I17" i="7"/>
  <c r="I16" i="7"/>
  <c r="I14" i="7"/>
  <c r="I4" i="7"/>
  <c r="I5" i="7"/>
  <c r="I6" i="7"/>
  <c r="I7" i="7"/>
  <c r="I8" i="7"/>
  <c r="I3" i="7"/>
  <c r="H26" i="7"/>
  <c r="F4" i="7"/>
  <c r="D69" i="7"/>
  <c r="X69" i="7" s="1"/>
  <c r="C69" i="7"/>
  <c r="C66" i="7"/>
  <c r="D65" i="7"/>
  <c r="X65" i="7" s="1"/>
  <c r="D60" i="7"/>
  <c r="X60" i="7" s="1"/>
  <c r="D53" i="7"/>
  <c r="V53" i="7" s="1"/>
  <c r="D48" i="7"/>
  <c r="V48" i="7" s="1"/>
  <c r="D43" i="7"/>
  <c r="P43" i="7" s="1"/>
  <c r="C43" i="7"/>
  <c r="C54" i="7" s="1"/>
  <c r="D40" i="7"/>
  <c r="T40" i="7" s="1"/>
  <c r="C40" i="7"/>
  <c r="D34" i="7"/>
  <c r="V34" i="7" s="1"/>
  <c r="D29" i="7"/>
  <c r="V29" i="7" s="1"/>
  <c r="D24" i="7"/>
  <c r="T24" i="7" s="1"/>
  <c r="C24" i="7"/>
  <c r="C35" i="7" s="1"/>
  <c r="D21" i="7"/>
  <c r="T21" i="7" s="1"/>
  <c r="C21" i="7"/>
  <c r="C15" i="7"/>
  <c r="D14" i="7"/>
  <c r="R14" i="7" s="1"/>
  <c r="C9" i="7"/>
  <c r="D9" i="7"/>
  <c r="D15" i="7" s="1"/>
  <c r="X15" i="7" s="1"/>
  <c r="J24" i="7" l="1"/>
  <c r="P34" i="7"/>
  <c r="X43" i="7"/>
  <c r="X48" i="7"/>
  <c r="X53" i="7"/>
  <c r="H43" i="7"/>
  <c r="H48" i="7"/>
  <c r="H53" i="7"/>
  <c r="J43" i="7"/>
  <c r="J48" i="7"/>
  <c r="J53" i="7"/>
  <c r="N21" i="7"/>
  <c r="N40" i="7"/>
  <c r="P24" i="7"/>
  <c r="T14" i="7"/>
  <c r="P48" i="7"/>
  <c r="P53" i="7"/>
  <c r="R69" i="7"/>
  <c r="X34" i="7"/>
  <c r="F15" i="7"/>
  <c r="H15" i="7"/>
  <c r="L9" i="7"/>
  <c r="P29" i="7"/>
  <c r="T9" i="7"/>
  <c r="X29" i="7"/>
  <c r="D54" i="7"/>
  <c r="F24" i="7"/>
  <c r="F29" i="7"/>
  <c r="F34" i="7"/>
  <c r="F43" i="7"/>
  <c r="F48" i="7"/>
  <c r="F53" i="7"/>
  <c r="H24" i="7"/>
  <c r="H40" i="7"/>
  <c r="J21" i="7"/>
  <c r="J40" i="7"/>
  <c r="L15" i="7"/>
  <c r="L60" i="7"/>
  <c r="L65" i="7"/>
  <c r="L69" i="7"/>
  <c r="N9" i="7"/>
  <c r="N14" i="7"/>
  <c r="P21" i="7"/>
  <c r="P40" i="7"/>
  <c r="R24" i="7"/>
  <c r="R29" i="7"/>
  <c r="R34" i="7"/>
  <c r="R43" i="7"/>
  <c r="R48" i="7"/>
  <c r="R53" i="7"/>
  <c r="T15" i="7"/>
  <c r="T60" i="7"/>
  <c r="T65" i="7"/>
  <c r="T69" i="7"/>
  <c r="V9" i="7"/>
  <c r="V14" i="7"/>
  <c r="X21" i="7"/>
  <c r="X40" i="7"/>
  <c r="H29" i="7"/>
  <c r="J29" i="7"/>
  <c r="R15" i="7"/>
  <c r="R60" i="7"/>
  <c r="F21" i="7"/>
  <c r="F40" i="7"/>
  <c r="H21" i="7"/>
  <c r="H60" i="7"/>
  <c r="H65" i="7"/>
  <c r="H69" i="7"/>
  <c r="J9" i="7"/>
  <c r="J14" i="7"/>
  <c r="L24" i="7"/>
  <c r="L29" i="7"/>
  <c r="L34" i="7"/>
  <c r="L43" i="7"/>
  <c r="L48" i="7"/>
  <c r="L53" i="7"/>
  <c r="N15" i="7"/>
  <c r="N60" i="7"/>
  <c r="N65" i="7"/>
  <c r="N69" i="7"/>
  <c r="P9" i="7"/>
  <c r="P14" i="7"/>
  <c r="R21" i="7"/>
  <c r="R40" i="7"/>
  <c r="T29" i="7"/>
  <c r="T34" i="7"/>
  <c r="T43" i="7"/>
  <c r="T48" i="7"/>
  <c r="T53" i="7"/>
  <c r="V15" i="7"/>
  <c r="V60" i="7"/>
  <c r="V65" i="7"/>
  <c r="V69" i="7"/>
  <c r="X9" i="7"/>
  <c r="X14" i="7"/>
  <c r="C71" i="7"/>
  <c r="D35" i="7"/>
  <c r="D66" i="7"/>
  <c r="F9" i="7"/>
  <c r="F14" i="7"/>
  <c r="F60" i="7"/>
  <c r="F65" i="7"/>
  <c r="F69" i="7"/>
  <c r="H9" i="7"/>
  <c r="H14" i="7"/>
  <c r="J15" i="7"/>
  <c r="J60" i="7"/>
  <c r="J65" i="7"/>
  <c r="J69" i="7"/>
  <c r="L21" i="7"/>
  <c r="L40" i="7"/>
  <c r="N24" i="7"/>
  <c r="N29" i="7"/>
  <c r="N34" i="7"/>
  <c r="N43" i="7"/>
  <c r="N48" i="7"/>
  <c r="N53" i="7"/>
  <c r="P15" i="7"/>
  <c r="P60" i="7"/>
  <c r="P65" i="7"/>
  <c r="P69" i="7"/>
  <c r="R9" i="7"/>
  <c r="V24" i="7"/>
  <c r="V43" i="7"/>
  <c r="D71" i="7"/>
  <c r="V66" i="7" l="1"/>
  <c r="N66" i="7"/>
  <c r="H66" i="7"/>
  <c r="T66" i="7"/>
  <c r="L66" i="7"/>
  <c r="J66" i="7"/>
  <c r="R66" i="7"/>
  <c r="X66" i="7"/>
  <c r="P66" i="7"/>
  <c r="F66" i="7"/>
  <c r="T54" i="7"/>
  <c r="L54" i="7"/>
  <c r="N54" i="7"/>
  <c r="R54" i="7"/>
  <c r="F54" i="7"/>
  <c r="V54" i="7"/>
  <c r="X54" i="7"/>
  <c r="P54" i="7"/>
  <c r="J54" i="7"/>
  <c r="H54" i="7"/>
  <c r="T35" i="7"/>
  <c r="L35" i="7"/>
  <c r="R35" i="7"/>
  <c r="F35" i="7"/>
  <c r="V35" i="7"/>
  <c r="N35" i="7"/>
  <c r="X35" i="7"/>
  <c r="P35" i="7"/>
  <c r="J35" i="7"/>
  <c r="H35" i="7"/>
  <c r="G73" i="3" l="1"/>
  <c r="G67" i="3"/>
  <c r="G62" i="3"/>
  <c r="G55" i="3"/>
  <c r="G50" i="3"/>
  <c r="G40" i="3"/>
  <c r="G34" i="3"/>
  <c r="G29" i="3"/>
  <c r="F73" i="3"/>
  <c r="G73" i="4" l="1"/>
  <c r="F73" i="4"/>
  <c r="F66" i="4" s="1"/>
  <c r="D73" i="4"/>
  <c r="D53" i="4" s="1"/>
  <c r="K53" i="4" s="1"/>
  <c r="K82" i="5"/>
  <c r="K80" i="5"/>
  <c r="F75" i="5"/>
  <c r="F72" i="5"/>
  <c r="E71" i="5"/>
  <c r="C71" i="5"/>
  <c r="D71" i="5" s="1"/>
  <c r="F70" i="5"/>
  <c r="D70" i="5"/>
  <c r="F69" i="5"/>
  <c r="D69" i="5"/>
  <c r="K69" i="5" s="1"/>
  <c r="E68" i="5"/>
  <c r="F68" i="5" s="1"/>
  <c r="K67" i="5"/>
  <c r="F67" i="5"/>
  <c r="C67" i="5"/>
  <c r="D67" i="5" s="1"/>
  <c r="K66" i="5"/>
  <c r="F66" i="5"/>
  <c r="D66" i="5"/>
  <c r="F65" i="5"/>
  <c r="D65" i="5"/>
  <c r="K65" i="5" s="1"/>
  <c r="F64" i="5"/>
  <c r="D64" i="5"/>
  <c r="K64" i="5" s="1"/>
  <c r="F62" i="5"/>
  <c r="K62" i="5" s="1"/>
  <c r="C62" i="5"/>
  <c r="C68" i="5" s="1"/>
  <c r="F61" i="5"/>
  <c r="D61" i="5"/>
  <c r="K61" i="5" s="1"/>
  <c r="K60" i="5"/>
  <c r="F60" i="5"/>
  <c r="D60" i="5"/>
  <c r="F59" i="5"/>
  <c r="D59" i="5"/>
  <c r="K59" i="5" s="1"/>
  <c r="F57" i="5"/>
  <c r="D57" i="5"/>
  <c r="F55" i="5"/>
  <c r="K55" i="5" s="1"/>
  <c r="C55" i="5"/>
  <c r="K54" i="5"/>
  <c r="F54" i="5"/>
  <c r="D54" i="5"/>
  <c r="K53" i="5"/>
  <c r="F53" i="5"/>
  <c r="D53" i="5"/>
  <c r="F52" i="5"/>
  <c r="D52" i="5"/>
  <c r="K52" i="5" s="1"/>
  <c r="F50" i="5"/>
  <c r="K50" i="5" s="1"/>
  <c r="C50" i="5"/>
  <c r="D50" i="5" s="1"/>
  <c r="F49" i="5"/>
  <c r="D49" i="5"/>
  <c r="K49" i="5" s="1"/>
  <c r="K48" i="5"/>
  <c r="F48" i="5"/>
  <c r="D48" i="5"/>
  <c r="F47" i="5"/>
  <c r="D47" i="5"/>
  <c r="K47" i="5" s="1"/>
  <c r="E45" i="5"/>
  <c r="E56" i="5" s="1"/>
  <c r="F56" i="5" s="1"/>
  <c r="C45" i="5"/>
  <c r="D45" i="5" s="1"/>
  <c r="F44" i="5"/>
  <c r="D44" i="5"/>
  <c r="K44" i="5" s="1"/>
  <c r="F43" i="5"/>
  <c r="D43" i="5"/>
  <c r="K43" i="5" s="1"/>
  <c r="E42" i="5"/>
  <c r="F42" i="5" s="1"/>
  <c r="C42" i="5"/>
  <c r="D42" i="5" s="1"/>
  <c r="F41" i="5"/>
  <c r="D41" i="5"/>
  <c r="K41" i="5" s="1"/>
  <c r="F40" i="5"/>
  <c r="K40" i="5" s="1"/>
  <c r="D40" i="5"/>
  <c r="F38" i="5"/>
  <c r="D38" i="5"/>
  <c r="K38" i="5" s="1"/>
  <c r="E35" i="5"/>
  <c r="F35" i="5" s="1"/>
  <c r="F34" i="5"/>
  <c r="K34" i="5" s="1"/>
  <c r="C34" i="5"/>
  <c r="D34" i="5" s="1"/>
  <c r="F33" i="5"/>
  <c r="D33" i="5"/>
  <c r="K33" i="5" s="1"/>
  <c r="F32" i="5"/>
  <c r="D32" i="5"/>
  <c r="K32" i="5" s="1"/>
  <c r="F31" i="5"/>
  <c r="D31" i="5"/>
  <c r="K31" i="5" s="1"/>
  <c r="F29" i="5"/>
  <c r="K29" i="5" s="1"/>
  <c r="C29" i="5"/>
  <c r="D29" i="5" s="1"/>
  <c r="F28" i="5"/>
  <c r="D28" i="5"/>
  <c r="K28" i="5" s="1"/>
  <c r="F27" i="5"/>
  <c r="D27" i="5"/>
  <c r="K27" i="5" s="1"/>
  <c r="F26" i="5"/>
  <c r="D26" i="5"/>
  <c r="K26" i="5" s="1"/>
  <c r="F24" i="5"/>
  <c r="E24" i="5"/>
  <c r="C24" i="5"/>
  <c r="F23" i="5"/>
  <c r="K23" i="5" s="1"/>
  <c r="D23" i="5"/>
  <c r="F22" i="5"/>
  <c r="D22" i="5"/>
  <c r="K22" i="5" s="1"/>
  <c r="E21" i="5"/>
  <c r="F21" i="5" s="1"/>
  <c r="C21" i="5"/>
  <c r="D21" i="5" s="1"/>
  <c r="F20" i="5"/>
  <c r="D20" i="5"/>
  <c r="K20" i="5" s="1"/>
  <c r="F19" i="5"/>
  <c r="D19" i="5"/>
  <c r="K19" i="5" s="1"/>
  <c r="F18" i="5"/>
  <c r="K18" i="5" s="1"/>
  <c r="D18" i="5"/>
  <c r="F17" i="5"/>
  <c r="D17" i="5"/>
  <c r="K17" i="5" s="1"/>
  <c r="F16" i="5"/>
  <c r="D16" i="5"/>
  <c r="F14" i="5"/>
  <c r="K14" i="5" s="1"/>
  <c r="C14" i="5"/>
  <c r="F13" i="5"/>
  <c r="D13" i="5"/>
  <c r="K13" i="5" s="1"/>
  <c r="F12" i="5"/>
  <c r="D12" i="5"/>
  <c r="K12" i="5" s="1"/>
  <c r="F11" i="5"/>
  <c r="D11" i="5"/>
  <c r="K11" i="5" s="1"/>
  <c r="F9" i="5"/>
  <c r="E9" i="5"/>
  <c r="E15" i="5" s="1"/>
  <c r="F15" i="5" s="1"/>
  <c r="C9" i="5"/>
  <c r="D9" i="5" s="1"/>
  <c r="F8" i="5"/>
  <c r="D8" i="5"/>
  <c r="F7" i="5"/>
  <c r="D7" i="5"/>
  <c r="K7" i="5" s="1"/>
  <c r="K6" i="5"/>
  <c r="F6" i="5"/>
  <c r="D6" i="5"/>
  <c r="F5" i="5"/>
  <c r="D5" i="5"/>
  <c r="F4" i="5"/>
  <c r="D4" i="5"/>
  <c r="K4" i="5" s="1"/>
  <c r="F3" i="5"/>
  <c r="D3" i="5"/>
  <c r="K3" i="5" s="1"/>
  <c r="K82" i="4"/>
  <c r="K80" i="4"/>
  <c r="E71" i="4"/>
  <c r="C71" i="4"/>
  <c r="E68" i="4"/>
  <c r="C67" i="4"/>
  <c r="C62" i="4"/>
  <c r="C68" i="4" s="1"/>
  <c r="C55" i="4"/>
  <c r="C50" i="4"/>
  <c r="F47" i="4"/>
  <c r="E45" i="4"/>
  <c r="E56" i="4" s="1"/>
  <c r="C45" i="4"/>
  <c r="C56" i="4" s="1"/>
  <c r="E42" i="4"/>
  <c r="F42" i="4" s="1"/>
  <c r="C42" i="4"/>
  <c r="F41" i="4"/>
  <c r="C34" i="4"/>
  <c r="F32" i="4"/>
  <c r="F29" i="4"/>
  <c r="K29" i="4" s="1"/>
  <c r="C29" i="4"/>
  <c r="F27" i="4"/>
  <c r="E24" i="4"/>
  <c r="F24" i="4" s="1"/>
  <c r="C24" i="4"/>
  <c r="C35" i="4" s="1"/>
  <c r="F22" i="4"/>
  <c r="E21" i="4"/>
  <c r="C21" i="4"/>
  <c r="F19" i="4"/>
  <c r="F18" i="4"/>
  <c r="F14" i="4"/>
  <c r="K14" i="4" s="1"/>
  <c r="C14" i="4"/>
  <c r="F11" i="4"/>
  <c r="E9" i="4"/>
  <c r="E15" i="4" s="1"/>
  <c r="F15" i="4" s="1"/>
  <c r="C9" i="4"/>
  <c r="C15" i="4" s="1"/>
  <c r="F6" i="4"/>
  <c r="F5" i="4"/>
  <c r="K82" i="3"/>
  <c r="K80" i="3"/>
  <c r="F75" i="3"/>
  <c r="F72" i="3"/>
  <c r="E71" i="3"/>
  <c r="F71" i="3" s="1"/>
  <c r="D71" i="3"/>
  <c r="C71" i="3"/>
  <c r="F70" i="3"/>
  <c r="D70" i="3"/>
  <c r="F69" i="3"/>
  <c r="D69" i="3"/>
  <c r="K69" i="3" s="1"/>
  <c r="E68" i="3"/>
  <c r="F68" i="3" s="1"/>
  <c r="F67" i="3"/>
  <c r="K67" i="3" s="1"/>
  <c r="C67" i="3"/>
  <c r="D67" i="3" s="1"/>
  <c r="F66" i="3"/>
  <c r="D66" i="3"/>
  <c r="K66" i="3" s="1"/>
  <c r="F65" i="3"/>
  <c r="D65" i="3"/>
  <c r="K65" i="3" s="1"/>
  <c r="F64" i="3"/>
  <c r="D64" i="3"/>
  <c r="K64" i="3" s="1"/>
  <c r="F62" i="3"/>
  <c r="K62" i="3" s="1"/>
  <c r="C62" i="3"/>
  <c r="C68" i="3" s="1"/>
  <c r="D68" i="3" s="1"/>
  <c r="F61" i="3"/>
  <c r="D61" i="3"/>
  <c r="K61" i="3" s="1"/>
  <c r="F60" i="3"/>
  <c r="D60" i="3"/>
  <c r="K60" i="3" s="1"/>
  <c r="F59" i="3"/>
  <c r="D59" i="3"/>
  <c r="K59" i="3" s="1"/>
  <c r="F57" i="3"/>
  <c r="D57" i="3"/>
  <c r="F55" i="3"/>
  <c r="K55" i="3" s="1"/>
  <c r="C55" i="3"/>
  <c r="D55" i="3" s="1"/>
  <c r="F54" i="3"/>
  <c r="D54" i="3"/>
  <c r="K54" i="3" s="1"/>
  <c r="F53" i="3"/>
  <c r="D53" i="3"/>
  <c r="K53" i="3" s="1"/>
  <c r="F52" i="3"/>
  <c r="D52" i="3"/>
  <c r="K52" i="3" s="1"/>
  <c r="F50" i="3"/>
  <c r="K50" i="3" s="1"/>
  <c r="C50" i="3"/>
  <c r="K49" i="3"/>
  <c r="F49" i="3"/>
  <c r="D49" i="3"/>
  <c r="F48" i="3"/>
  <c r="D48" i="3"/>
  <c r="K48" i="3" s="1"/>
  <c r="F47" i="3"/>
  <c r="D47" i="3"/>
  <c r="K47" i="3" s="1"/>
  <c r="E45" i="3"/>
  <c r="F45" i="3" s="1"/>
  <c r="C45" i="3"/>
  <c r="D45" i="3" s="1"/>
  <c r="F44" i="3"/>
  <c r="D44" i="3"/>
  <c r="K44" i="3" s="1"/>
  <c r="F43" i="3"/>
  <c r="D43" i="3"/>
  <c r="K43" i="3" s="1"/>
  <c r="E42" i="3"/>
  <c r="C42" i="3"/>
  <c r="D42" i="3" s="1"/>
  <c r="F41" i="3"/>
  <c r="D41" i="3"/>
  <c r="F40" i="3"/>
  <c r="D40" i="3"/>
  <c r="F38" i="3"/>
  <c r="D38" i="3"/>
  <c r="F34" i="3"/>
  <c r="K34" i="3" s="1"/>
  <c r="C34" i="3"/>
  <c r="D34" i="3" s="1"/>
  <c r="F33" i="3"/>
  <c r="D33" i="3"/>
  <c r="K33" i="3" s="1"/>
  <c r="F32" i="3"/>
  <c r="D32" i="3"/>
  <c r="K32" i="3" s="1"/>
  <c r="F31" i="3"/>
  <c r="D31" i="3"/>
  <c r="K31" i="3" s="1"/>
  <c r="F29" i="3"/>
  <c r="K29" i="3" s="1"/>
  <c r="C29" i="3"/>
  <c r="F28" i="3"/>
  <c r="D28" i="3"/>
  <c r="K28" i="3" s="1"/>
  <c r="F27" i="3"/>
  <c r="D27" i="3"/>
  <c r="K27" i="3" s="1"/>
  <c r="F26" i="3"/>
  <c r="D26" i="3"/>
  <c r="K26" i="3" s="1"/>
  <c r="E24" i="3"/>
  <c r="F24" i="3" s="1"/>
  <c r="C24" i="3"/>
  <c r="D24" i="3" s="1"/>
  <c r="F23" i="3"/>
  <c r="D23" i="3"/>
  <c r="K23" i="3" s="1"/>
  <c r="F22" i="3"/>
  <c r="D22" i="3"/>
  <c r="K22" i="3" s="1"/>
  <c r="E21" i="3"/>
  <c r="F21" i="3" s="1"/>
  <c r="C21" i="3"/>
  <c r="D21" i="3" s="1"/>
  <c r="F20" i="3"/>
  <c r="D20" i="3"/>
  <c r="F19" i="3"/>
  <c r="D19" i="3"/>
  <c r="F18" i="3"/>
  <c r="D18" i="3"/>
  <c r="F17" i="3"/>
  <c r="D17" i="3"/>
  <c r="K17" i="3" s="1"/>
  <c r="F16" i="3"/>
  <c r="D16" i="3"/>
  <c r="F14" i="3"/>
  <c r="K14" i="3" s="1"/>
  <c r="C14" i="3"/>
  <c r="D14" i="3" s="1"/>
  <c r="F13" i="3"/>
  <c r="D13" i="3"/>
  <c r="K13" i="3" s="1"/>
  <c r="F12" i="3"/>
  <c r="D12" i="3"/>
  <c r="K12" i="3" s="1"/>
  <c r="F11" i="3"/>
  <c r="D11" i="3"/>
  <c r="K11" i="3" s="1"/>
  <c r="E9" i="3"/>
  <c r="E15" i="3" s="1"/>
  <c r="F15" i="3" s="1"/>
  <c r="C9" i="3"/>
  <c r="C15" i="3" s="1"/>
  <c r="D15" i="3" s="1"/>
  <c r="F8" i="3"/>
  <c r="K8" i="3" s="1"/>
  <c r="D8" i="3"/>
  <c r="F7" i="3"/>
  <c r="D7" i="3"/>
  <c r="M7" i="3" s="1"/>
  <c r="F6" i="3"/>
  <c r="D6" i="3"/>
  <c r="F5" i="3"/>
  <c r="D5" i="3"/>
  <c r="F4" i="3"/>
  <c r="D4" i="3"/>
  <c r="F3" i="3"/>
  <c r="D3" i="3"/>
  <c r="M3" i="3" l="1"/>
  <c r="K3" i="3"/>
  <c r="M5" i="3"/>
  <c r="K5" i="3"/>
  <c r="C56" i="3"/>
  <c r="K5" i="5"/>
  <c r="C15" i="5"/>
  <c r="D15" i="5" s="1"/>
  <c r="C56" i="5"/>
  <c r="D56" i="5" s="1"/>
  <c r="D62" i="3"/>
  <c r="C35" i="5"/>
  <c r="D35" i="5" s="1"/>
  <c r="C73" i="4"/>
  <c r="E73" i="5"/>
  <c r="C35" i="3"/>
  <c r="D35" i="3" s="1"/>
  <c r="K4" i="3"/>
  <c r="M4" i="3"/>
  <c r="M6" i="3"/>
  <c r="M8" i="3"/>
  <c r="K16" i="3"/>
  <c r="K20" i="3"/>
  <c r="K38" i="3"/>
  <c r="E56" i="3"/>
  <c r="F56" i="3" s="1"/>
  <c r="K8" i="5"/>
  <c r="K16" i="5"/>
  <c r="K57" i="5"/>
  <c r="D35" i="4"/>
  <c r="D6" i="4"/>
  <c r="D27" i="4"/>
  <c r="K27" i="4" s="1"/>
  <c r="D47" i="4"/>
  <c r="K47" i="4" s="1"/>
  <c r="D3" i="4"/>
  <c r="D13" i="4"/>
  <c r="K13" i="4" s="1"/>
  <c r="D23" i="4"/>
  <c r="K23" i="4" s="1"/>
  <c r="D44" i="4"/>
  <c r="D29" i="4"/>
  <c r="D50" i="4"/>
  <c r="D19" i="4"/>
  <c r="D38" i="4"/>
  <c r="D52" i="4"/>
  <c r="K52" i="4" s="1"/>
  <c r="D4" i="4"/>
  <c r="D15" i="4"/>
  <c r="D14" i="4"/>
  <c r="D16" i="4"/>
  <c r="D21" i="4"/>
  <c r="D42" i="4"/>
  <c r="D56" i="4"/>
  <c r="D57" i="4"/>
  <c r="D69" i="4"/>
  <c r="K69" i="4" s="1"/>
  <c r="D55" i="4"/>
  <c r="D61" i="4"/>
  <c r="K61" i="4" s="1"/>
  <c r="D66" i="4"/>
  <c r="K66" i="4" s="1"/>
  <c r="D71" i="4"/>
  <c r="D5" i="4"/>
  <c r="K5" i="4" s="1"/>
  <c r="D7" i="4"/>
  <c r="D17" i="4"/>
  <c r="D22" i="4"/>
  <c r="D24" i="4"/>
  <c r="D28" i="4"/>
  <c r="K28" i="4" s="1"/>
  <c r="D31" i="4"/>
  <c r="K31" i="4" s="1"/>
  <c r="D33" i="4"/>
  <c r="K33" i="4" s="1"/>
  <c r="D40" i="4"/>
  <c r="D45" i="4"/>
  <c r="D48" i="4"/>
  <c r="K48" i="4" s="1"/>
  <c r="D54" i="4"/>
  <c r="K54" i="4" s="1"/>
  <c r="D59" i="4"/>
  <c r="K59" i="4" s="1"/>
  <c r="D64" i="4"/>
  <c r="K64" i="4" s="1"/>
  <c r="D70" i="4"/>
  <c r="D8" i="4"/>
  <c r="D12" i="4"/>
  <c r="K12" i="4" s="1"/>
  <c r="D18" i="4"/>
  <c r="K18" i="4" s="1"/>
  <c r="D20" i="4"/>
  <c r="D32" i="4"/>
  <c r="K32" i="4" s="1"/>
  <c r="D43" i="4"/>
  <c r="D60" i="4"/>
  <c r="K60" i="4" s="1"/>
  <c r="D65" i="4"/>
  <c r="K65" i="4" s="1"/>
  <c r="D67" i="4"/>
  <c r="K18" i="3"/>
  <c r="K40" i="3"/>
  <c r="K57" i="3"/>
  <c r="K6" i="3"/>
  <c r="K7" i="3"/>
  <c r="K7" i="4"/>
  <c r="F69" i="4"/>
  <c r="F12" i="4"/>
  <c r="F20" i="4"/>
  <c r="F28" i="4"/>
  <c r="F43" i="4"/>
  <c r="F57" i="4"/>
  <c r="K57" i="4" s="1"/>
  <c r="F48" i="4"/>
  <c r="F53" i="4"/>
  <c r="F70" i="4"/>
  <c r="K16" i="4"/>
  <c r="F3" i="4"/>
  <c r="F7" i="4"/>
  <c r="F16" i="4"/>
  <c r="F23" i="4"/>
  <c r="F38" i="4"/>
  <c r="F52" i="4"/>
  <c r="F62" i="4"/>
  <c r="K62" i="4" s="1"/>
  <c r="F4" i="4"/>
  <c r="K4" i="4" s="1"/>
  <c r="F8" i="4"/>
  <c r="K8" i="4" s="1"/>
  <c r="F13" i="4"/>
  <c r="F17" i="4"/>
  <c r="K17" i="4" s="1"/>
  <c r="F33" i="4"/>
  <c r="F40" i="4"/>
  <c r="F44" i="4"/>
  <c r="F49" i="4"/>
  <c r="F59" i="4"/>
  <c r="F54" i="4"/>
  <c r="F64" i="4"/>
  <c r="F67" i="4"/>
  <c r="K67" i="4" s="1"/>
  <c r="F60" i="4"/>
  <c r="F21" i="4"/>
  <c r="F26" i="4"/>
  <c r="F34" i="4"/>
  <c r="K34" i="4" s="1"/>
  <c r="K6" i="4"/>
  <c r="F9" i="4"/>
  <c r="K22" i="4"/>
  <c r="F31" i="4"/>
  <c r="F56" i="4"/>
  <c r="F50" i="4"/>
  <c r="K50" i="4" s="1"/>
  <c r="F65" i="4"/>
  <c r="F68" i="4"/>
  <c r="F72" i="4"/>
  <c r="F55" i="4"/>
  <c r="K55" i="4" s="1"/>
  <c r="F61" i="4"/>
  <c r="F75" i="4"/>
  <c r="D11" i="4"/>
  <c r="K11" i="4" s="1"/>
  <c r="D26" i="4"/>
  <c r="K26" i="4" s="1"/>
  <c r="D34" i="4"/>
  <c r="D41" i="4"/>
  <c r="K41" i="4" s="1"/>
  <c r="D49" i="4"/>
  <c r="K49" i="4" s="1"/>
  <c r="D68" i="4"/>
  <c r="D68" i="5"/>
  <c r="K73" i="5"/>
  <c r="F45" i="5"/>
  <c r="D55" i="5"/>
  <c r="F71" i="5"/>
  <c r="D24" i="5"/>
  <c r="D14" i="5"/>
  <c r="D62" i="5"/>
  <c r="K3" i="4"/>
  <c r="L14" i="4" s="1"/>
  <c r="M14" i="4" s="1"/>
  <c r="K19" i="4"/>
  <c r="K19" i="3"/>
  <c r="K41" i="3"/>
  <c r="E35" i="4"/>
  <c r="F35" i="4" s="1"/>
  <c r="F45" i="4"/>
  <c r="F71" i="4"/>
  <c r="D9" i="4"/>
  <c r="D62" i="4"/>
  <c r="D56" i="3"/>
  <c r="C73" i="3"/>
  <c r="K73" i="3"/>
  <c r="D29" i="3"/>
  <c r="F42" i="3"/>
  <c r="E35" i="3"/>
  <c r="F35" i="3" s="1"/>
  <c r="D9" i="3"/>
  <c r="D50" i="3"/>
  <c r="F9" i="3"/>
  <c r="E73" i="4" l="1"/>
  <c r="L8" i="3"/>
  <c r="C73" i="5"/>
  <c r="E73" i="3"/>
  <c r="K40" i="4"/>
  <c r="N8" i="3"/>
  <c r="K44" i="4"/>
  <c r="K38" i="4"/>
  <c r="K43" i="4"/>
  <c r="K20" i="4"/>
  <c r="K73" i="4"/>
</calcChain>
</file>

<file path=xl/sharedStrings.xml><?xml version="1.0" encoding="utf-8"?>
<sst xmlns="http://schemas.openxmlformats.org/spreadsheetml/2006/main" count="390" uniqueCount="95">
  <si>
    <t xml:space="preserve">Customer Category </t>
  </si>
  <si>
    <t>Domestic</t>
  </si>
  <si>
    <t>0 - 30 kWh</t>
  </si>
  <si>
    <t>30 - 60 kWh</t>
  </si>
  <si>
    <t>60 - 90 kWh</t>
  </si>
  <si>
    <t>90 - 120 kWh</t>
  </si>
  <si>
    <t>120 - 180 kWh</t>
  </si>
  <si>
    <t>&gt; 180 kWh</t>
  </si>
  <si>
    <t>Total Domestic (Block Tarrif)</t>
  </si>
  <si>
    <t>Domestic TOU Day</t>
  </si>
  <si>
    <t>Domestic TOU Peak</t>
  </si>
  <si>
    <t>Domestic TOU Off Peak</t>
  </si>
  <si>
    <t>Total Domestic (TOU)</t>
  </si>
  <si>
    <t>Total Domestic</t>
  </si>
  <si>
    <t>Religious</t>
  </si>
  <si>
    <t>30 - 90 kWh</t>
  </si>
  <si>
    <t>Total Religious</t>
  </si>
  <si>
    <t>General Purpose</t>
  </si>
  <si>
    <t>GP1 ( 0 - 180 kWh)</t>
  </si>
  <si>
    <t>GP1 ( &gt; 180 kWh )</t>
  </si>
  <si>
    <t>GP1</t>
  </si>
  <si>
    <t>GP2 Day</t>
  </si>
  <si>
    <t>GP2 Peak</t>
  </si>
  <si>
    <t>GP2 Off Peak</t>
  </si>
  <si>
    <t>GP2</t>
  </si>
  <si>
    <t>GP3 Day</t>
  </si>
  <si>
    <t>GP3 Peak</t>
  </si>
  <si>
    <t>GP3 Off Peak</t>
  </si>
  <si>
    <t>GP3</t>
  </si>
  <si>
    <t>Total GP</t>
  </si>
  <si>
    <t>GV</t>
  </si>
  <si>
    <t>GV-1</t>
  </si>
  <si>
    <t>GV-2</t>
  </si>
  <si>
    <t>GV-3</t>
  </si>
  <si>
    <t>Total GV</t>
  </si>
  <si>
    <t>Industrial</t>
  </si>
  <si>
    <t>I1 (0 - 300 kWh)</t>
  </si>
  <si>
    <t>I1 ( &gt; 300 kWh)</t>
  </si>
  <si>
    <t>I1</t>
  </si>
  <si>
    <t>I2 Day</t>
  </si>
  <si>
    <t>I2 Peak</t>
  </si>
  <si>
    <t>I2 Off Peak</t>
  </si>
  <si>
    <t>I2</t>
  </si>
  <si>
    <t>I3 Day</t>
  </si>
  <si>
    <t>I3 Peak</t>
  </si>
  <si>
    <t>I3 Off Peak</t>
  </si>
  <si>
    <t>I3</t>
  </si>
  <si>
    <t>Total Industrial</t>
  </si>
  <si>
    <t>Hotels</t>
  </si>
  <si>
    <t>H1</t>
  </si>
  <si>
    <t>H2 Day</t>
  </si>
  <si>
    <t>H2 Peak</t>
  </si>
  <si>
    <t>H2 Off Peak</t>
  </si>
  <si>
    <t>H2</t>
  </si>
  <si>
    <t>H3 Day</t>
  </si>
  <si>
    <t>H3 Peak</t>
  </si>
  <si>
    <t>H3 Off Peak</t>
  </si>
  <si>
    <t>H3</t>
  </si>
  <si>
    <t>Total Hotels</t>
  </si>
  <si>
    <t>STL</t>
  </si>
  <si>
    <t>Sold</t>
  </si>
  <si>
    <t>Unsold</t>
  </si>
  <si>
    <t>Total Street Lighting</t>
  </si>
  <si>
    <t>Total Energy</t>
  </si>
  <si>
    <t>Mar - Dec</t>
  </si>
  <si>
    <t>Tariff (LKR)</t>
  </si>
  <si>
    <t>Sales kWh (Mar - Dec 2023)</t>
  </si>
  <si>
    <t>Energy Mix 2023</t>
  </si>
  <si>
    <t>Sum of customers (Mar - Dec 2023)</t>
  </si>
  <si>
    <t>Fixed Charge (LKR)</t>
  </si>
  <si>
    <t>Total Revenue (LKR) (Mar - Dec 2023)</t>
  </si>
  <si>
    <t>Consumer Mix 2023</t>
  </si>
  <si>
    <t>Unbilled</t>
  </si>
  <si>
    <t>Total Unbilled</t>
  </si>
  <si>
    <t>Demand Charge (LKR)</t>
  </si>
  <si>
    <t>Assume day rate</t>
  </si>
  <si>
    <t>Assume  &gt;180 units</t>
  </si>
  <si>
    <t>Demand Usage KVA(Mar - Dec 2023)</t>
  </si>
  <si>
    <t>Annual value /12 * 10</t>
  </si>
  <si>
    <t>Mar</t>
  </si>
  <si>
    <t>Consumers</t>
  </si>
  <si>
    <t>Sales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</si>
  <si>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</si>
  <si>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</si>
  <si>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</si>
  <si>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</si>
  <si>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</si>
  <si>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</si>
  <si>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</si>
  <si>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</si>
  <si>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</si>
  <si>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Total </t>
  </si>
  <si>
    <t>Con. Mix</t>
  </si>
  <si>
    <t>Eng. Mix</t>
  </si>
  <si>
    <t>Monthly 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</si>
</sst>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dobe Devanagari"/>
      <family val="1"/>
    </font>
    <font>
      <sz val="11"/>
      <color theme="1"/>
      <name val="Adobe Devanagari"/>
      <family val="1"/>
    </font>
    <font>
      <b/>
      <sz val="11"/>
      <name val="Adobe Devanagari"/>
      <family val="1"/>
    </font>
    <font>
      <sz val="11"/>
      <name val="Adobe Devanagari"/>
      <family val="1"/>
    </font>
    <font>
      <b/>
      <sz val="11"/>
      <color theme="1"/>
      <name val="Adobe Devanagari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0" fontId="3" fillId="0" borderId="1" xfId="2" applyNumberFormat="1" applyFont="1" applyBorder="1" applyAlignment="1">
      <alignment vertical="center"/>
    </xf>
    <xf numFmtId="10" fontId="2" fillId="0" borderId="1" xfId="2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0" fontId="2" fillId="2" borderId="1" xfId="2" applyNumberFormat="1" applyFont="1" applyFill="1" applyBorder="1" applyAlignment="1">
      <alignment vertical="center"/>
    </xf>
    <xf numFmtId="10" fontId="2" fillId="3" borderId="1" xfId="2" applyNumberFormat="1" applyFont="1" applyFill="1" applyBorder="1" applyAlignment="1">
      <alignment vertical="center"/>
    </xf>
    <xf numFmtId="43" fontId="3" fillId="0" borderId="0" xfId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2" fillId="0" borderId="1" xfId="1" applyFont="1" applyBorder="1" applyAlignment="1">
      <alignment vertical="center" wrapText="1"/>
    </xf>
    <xf numFmtId="43" fontId="3" fillId="0" borderId="2" xfId="1" applyFont="1" applyBorder="1" applyAlignment="1">
      <alignment vertical="center"/>
    </xf>
    <xf numFmtId="43" fontId="3" fillId="4" borderId="1" xfId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164" fontId="3" fillId="0" borderId="1" xfId="1" applyNumberFormat="1" applyFont="1" applyBorder="1"/>
    <xf numFmtId="164" fontId="2" fillId="0" borderId="1" xfId="1" applyNumberFormat="1" applyFont="1" applyFill="1" applyBorder="1" applyAlignment="1">
      <alignment vertical="center" wrapText="1"/>
    </xf>
    <xf numFmtId="164" fontId="3" fillId="0" borderId="0" xfId="1" applyNumberFormat="1" applyFont="1"/>
    <xf numFmtId="10" fontId="2" fillId="0" borderId="1" xfId="2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5" fontId="3" fillId="0" borderId="0" xfId="1" applyNumberFormat="1" applyFont="1" applyAlignment="1">
      <alignment vertical="center"/>
    </xf>
    <xf numFmtId="164" fontId="3" fillId="0" borderId="3" xfId="1" applyNumberFormat="1" applyFont="1" applyBorder="1"/>
    <xf numFmtId="43" fontId="3" fillId="0" borderId="0" xfId="1" applyFont="1"/>
    <xf numFmtId="164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/>
    <xf numFmtId="164" fontId="3" fillId="0" borderId="1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2" fillId="0" borderId="0" xfId="0" applyFont="1"/>
    <xf numFmtId="164" fontId="5" fillId="6" borderId="1" xfId="1" applyNumberFormat="1" applyFont="1" applyFill="1" applyBorder="1" applyAlignment="1">
      <alignment horizontal="center"/>
    </xf>
    <xf numFmtId="0" fontId="5" fillId="6" borderId="0" xfId="0" applyFont="1" applyFill="1"/>
    <xf numFmtId="9" fontId="2" fillId="0" borderId="5" xfId="2" applyFont="1" applyBorder="1" applyAlignment="1">
      <alignment horizontal="center" vertical="center"/>
    </xf>
    <xf numFmtId="9" fontId="3" fillId="0" borderId="1" xfId="2" applyFont="1" applyBorder="1" applyAlignment="1">
      <alignment vertical="center"/>
    </xf>
    <xf numFmtId="9" fontId="3" fillId="0" borderId="0" xfId="2" applyFont="1"/>
    <xf numFmtId="43" fontId="3" fillId="0" borderId="1" xfId="1" applyFont="1" applyBorder="1" applyAlignment="1">
      <alignment horizontal="center"/>
    </xf>
    <xf numFmtId="9" fontId="5" fillId="6" borderId="1" xfId="2" applyFont="1" applyFill="1" applyBorder="1" applyAlignment="1">
      <alignment horizontal="center"/>
    </xf>
    <xf numFmtId="0" fontId="2" fillId="7" borderId="1" xfId="0" applyFont="1" applyFill="1" applyBorder="1" applyAlignment="1">
      <alignment vertical="center"/>
    </xf>
    <xf numFmtId="9" fontId="2" fillId="7" borderId="1" xfId="2" applyFont="1" applyFill="1" applyBorder="1" applyAlignment="1">
      <alignment vertical="center"/>
    </xf>
    <xf numFmtId="164" fontId="2" fillId="7" borderId="1" xfId="1" applyNumberFormat="1" applyFont="1" applyFill="1" applyBorder="1" applyAlignment="1">
      <alignment horizontal="center"/>
    </xf>
    <xf numFmtId="0" fontId="2" fillId="7" borderId="0" xfId="0" applyFont="1" applyFill="1"/>
    <xf numFmtId="164" fontId="3" fillId="7" borderId="1" xfId="1" applyNumberFormat="1" applyFont="1" applyFill="1" applyBorder="1" applyAlignment="1">
      <alignment horizontal="center"/>
    </xf>
    <xf numFmtId="0" fontId="3" fillId="7" borderId="0" xfId="0" applyFont="1" applyFill="1"/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9" fontId="2" fillId="8" borderId="1" xfId="2" applyFont="1" applyFill="1" applyBorder="1" applyAlignment="1">
      <alignment vertical="center"/>
    </xf>
    <xf numFmtId="164" fontId="2" fillId="8" borderId="1" xfId="1" applyNumberFormat="1" applyFont="1" applyFill="1" applyBorder="1" applyAlignment="1">
      <alignment horizontal="center"/>
    </xf>
    <xf numFmtId="0" fontId="2" fillId="8" borderId="0" xfId="0" applyFont="1" applyFill="1"/>
    <xf numFmtId="0" fontId="3" fillId="8" borderId="1" xfId="0" applyFont="1" applyFill="1" applyBorder="1" applyAlignment="1">
      <alignment vertical="center"/>
    </xf>
    <xf numFmtId="9" fontId="3" fillId="8" borderId="1" xfId="2" applyFont="1" applyFill="1" applyBorder="1" applyAlignment="1">
      <alignment vertical="center"/>
    </xf>
    <xf numFmtId="164" fontId="3" fillId="8" borderId="1" xfId="1" applyNumberFormat="1" applyFont="1" applyFill="1" applyBorder="1" applyAlignment="1">
      <alignment horizontal="center"/>
    </xf>
    <xf numFmtId="43" fontId="2" fillId="8" borderId="1" xfId="1" applyFont="1" applyFill="1" applyBorder="1" applyAlignment="1">
      <alignment horizontal="center"/>
    </xf>
    <xf numFmtId="0" fontId="2" fillId="0" borderId="4" xfId="0" applyFont="1" applyBorder="1"/>
    <xf numFmtId="9" fontId="2" fillId="0" borderId="4" xfId="2" applyFont="1" applyBorder="1" applyAlignment="1"/>
    <xf numFmtId="0" fontId="3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6" fillId="8" borderId="1" xfId="1" applyNumberFormat="1" applyFont="1" applyFill="1" applyBorder="1" applyAlignment="1">
      <alignment horizontal="center"/>
    </xf>
    <xf numFmtId="164" fontId="6" fillId="7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 applyAlignment="1">
      <alignment horizontal="center"/>
    </xf>
    <xf numFmtId="164" fontId="3" fillId="6" borderId="1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1"/>
  <sheetViews>
    <sheetView tabSelected="1" zoomScaleNormal="100" workbookViewId="0">
      <pane xSplit="4" ySplit="2" topLeftCell="Y53" activePane="bottomRight" state="frozen"/>
      <selection pane="topRight" activeCell="E1" sqref="E1"/>
      <selection pane="bottomLeft" activeCell="A3" sqref="A3"/>
      <selection pane="bottomRight" activeCell="Z71" sqref="Z71"/>
    </sheetView>
  </sheetViews>
  <sheetFormatPr defaultColWidth="8.85546875" defaultRowHeight="15"/>
  <cols>
    <col min="1" max="1" width="13.28515625" style="38" bestFit="1" customWidth="1"/>
    <col min="2" max="2" width="23.85546875" style="38" bestFit="1" customWidth="1"/>
    <col min="3" max="3" width="8" style="46" hidden="1" customWidth="1"/>
    <col min="4" max="4" width="7.7109375" style="46" hidden="1" customWidth="1"/>
    <col min="5" max="5" width="10.140625" style="40" customWidth="1"/>
    <col min="6" max="6" width="14" style="40" customWidth="1"/>
    <col min="7" max="7" width="10.140625" style="40" customWidth="1"/>
    <col min="8" max="8" width="13.28515625" style="40" bestFit="1" customWidth="1"/>
    <col min="9" max="9" width="10.140625" style="40" customWidth="1"/>
    <col min="10" max="10" width="12.7109375" style="40" bestFit="1" customWidth="1"/>
    <col min="11" max="11" width="15.5703125" style="40" customWidth="1"/>
    <col min="12" max="12" width="13.28515625" style="40" bestFit="1" customWidth="1"/>
    <col min="13" max="13" width="10.140625" style="40" customWidth="1"/>
    <col min="14" max="14" width="13.28515625" style="40" bestFit="1" customWidth="1"/>
    <col min="15" max="15" width="10.140625" style="40" customWidth="1"/>
    <col min="16" max="16" width="13.28515625" style="40" bestFit="1" customWidth="1"/>
    <col min="17" max="17" width="10.140625" style="40" customWidth="1"/>
    <col min="18" max="18" width="13.28515625" style="40" bestFit="1" customWidth="1"/>
    <col min="19" max="19" width="10.140625" style="40" customWidth="1"/>
    <col min="20" max="20" width="13.28515625" style="40" bestFit="1" customWidth="1"/>
    <col min="21" max="21" width="10.140625" style="40" customWidth="1"/>
    <col min="22" max="22" width="13.28515625" style="40" bestFit="1" customWidth="1"/>
    <col min="23" max="23" width="10.140625" style="40" customWidth="1"/>
    <col min="24" max="24" width="13.28515625" style="40" bestFit="1" customWidth="1"/>
    <col min="25" max="25" width="16.85546875" style="38" bestFit="1" customWidth="1"/>
    <col min="26" max="26" width="24" style="38" bestFit="1" customWidth="1"/>
    <col min="27" max="16384" width="8.85546875" style="38"/>
  </cols>
  <sheetData>
    <row r="1" spans="1:26" s="41" customFormat="1" ht="14.25">
      <c r="A1" s="64"/>
      <c r="B1" s="64"/>
      <c r="C1" s="65"/>
      <c r="D1" s="65"/>
      <c r="E1" s="68" t="s">
        <v>79</v>
      </c>
      <c r="F1" s="68"/>
      <c r="G1" s="68" t="s">
        <v>82</v>
      </c>
      <c r="H1" s="68"/>
      <c r="I1" s="69" t="s">
        <v>83</v>
      </c>
      <c r="J1" s="69"/>
      <c r="K1" s="68" t="s">
        <v>84</v>
      </c>
      <c r="L1" s="68"/>
      <c r="M1" s="68" t="s">
        <v>85</v>
      </c>
      <c r="N1" s="68"/>
      <c r="O1" s="68" t="s">
        <v>86</v>
      </c>
      <c r="P1" s="68"/>
      <c r="Q1" s="68" t="s">
        <v>87</v>
      </c>
      <c r="R1" s="68"/>
      <c r="S1" s="68" t="s">
        <v>88</v>
      </c>
      <c r="T1" s="68"/>
      <c r="U1" s="68" t="s">
        <v>89</v>
      </c>
      <c r="V1" s="68"/>
      <c r="W1" s="68" t="s">
        <v>90</v>
      </c>
      <c r="X1" s="68"/>
      <c r="Y1" s="68" t="s">
        <v>94</v>
      </c>
      <c r="Z1" s="68"/>
    </row>
    <row r="2" spans="1:26">
      <c r="A2" s="70" t="s">
        <v>0</v>
      </c>
      <c r="B2" s="71"/>
      <c r="C2" s="44" t="s">
        <v>92</v>
      </c>
      <c r="D2" s="44" t="s">
        <v>93</v>
      </c>
      <c r="E2" s="39" t="s">
        <v>80</v>
      </c>
      <c r="F2" s="39" t="s">
        <v>81</v>
      </c>
      <c r="G2" s="39" t="s">
        <v>80</v>
      </c>
      <c r="H2" s="39" t="s">
        <v>81</v>
      </c>
      <c r="I2" s="39" t="s">
        <v>80</v>
      </c>
      <c r="J2" s="39" t="s">
        <v>81</v>
      </c>
      <c r="K2" s="39" t="s">
        <v>80</v>
      </c>
      <c r="L2" s="39" t="s">
        <v>81</v>
      </c>
      <c r="M2" s="39" t="s">
        <v>80</v>
      </c>
      <c r="N2" s="39" t="s">
        <v>81</v>
      </c>
      <c r="O2" s="39" t="s">
        <v>80</v>
      </c>
      <c r="P2" s="39" t="s">
        <v>81</v>
      </c>
      <c r="Q2" s="39" t="s">
        <v>80</v>
      </c>
      <c r="R2" s="39" t="s">
        <v>81</v>
      </c>
      <c r="S2" s="39" t="s">
        <v>80</v>
      </c>
      <c r="T2" s="39" t="s">
        <v>81</v>
      </c>
      <c r="U2" s="39" t="s">
        <v>80</v>
      </c>
      <c r="V2" s="39" t="s">
        <v>81</v>
      </c>
      <c r="W2" s="39" t="s">
        <v>80</v>
      </c>
      <c r="X2" s="39" t="s">
        <v>81</v>
      </c>
      <c r="Y2" s="39" t="s">
        <v>80</v>
      </c>
      <c r="Z2" s="39" t="s">
        <v>81</v>
      </c>
    </row>
    <row r="3" spans="1:26">
      <c r="A3" s="66" t="s">
        <v>1</v>
      </c>
      <c r="B3" s="3" t="s">
        <v>2</v>
      </c>
      <c r="C3" s="45">
        <v>9.5507672007863934E-2</v>
      </c>
      <c r="D3" s="45">
        <v>3.5558775430114581E-3</v>
      </c>
      <c r="E3" s="47">
        <f>+C3*$E$71</f>
        <v>56903.757505301357</v>
      </c>
      <c r="F3" s="39">
        <f>+D3*$F$71</f>
        <v>465365.87950240984</v>
      </c>
      <c r="G3" s="39">
        <f>+C3*$G$71</f>
        <v>56955.140632841583</v>
      </c>
      <c r="H3" s="39">
        <f>+D3*$H$71</f>
        <v>445805.04585763597</v>
      </c>
      <c r="I3" s="39">
        <f>+C3*$I$71</f>
        <v>57006.523760381817</v>
      </c>
      <c r="J3" s="47">
        <f>+D3*$J$71</f>
        <v>455964.54860337119</v>
      </c>
      <c r="K3" s="39">
        <f>+C3*$K$71</f>
        <v>57057.90688792205</v>
      </c>
      <c r="L3" s="39">
        <f t="shared" ref="L3:L66" si="0">+D3*$L$71</f>
        <v>436706.98369727604</v>
      </c>
      <c r="M3" s="39">
        <f>+C3*$M$71</f>
        <v>57109.290015462277</v>
      </c>
      <c r="N3" s="39">
        <f t="shared" ref="N3:N66" si="1">+D3*$N$71</f>
        <v>446563.21770433261</v>
      </c>
      <c r="O3" s="39">
        <f>+C3*$O$71</f>
        <v>57160.67314300251</v>
      </c>
      <c r="P3" s="39">
        <f t="shared" ref="P3:P66" si="2">+D3*$P$71</f>
        <v>441862.55225481332</v>
      </c>
      <c r="Q3" s="39">
        <f>+C3*$Q$71</f>
        <v>57212.056270542736</v>
      </c>
      <c r="R3" s="39">
        <f t="shared" ref="R3:R66" si="3">+D3*$R$71</f>
        <v>423059.8904567362</v>
      </c>
      <c r="S3" s="39">
        <f>+C3*$S$71</f>
        <v>57263.43939808297</v>
      </c>
      <c r="T3" s="39">
        <f t="shared" ref="T3:T66" si="4">+D3*$T$71</f>
        <v>432461.22135577479</v>
      </c>
      <c r="U3" s="39">
        <f>+C3*$U$71</f>
        <v>57314.822525623204</v>
      </c>
      <c r="V3" s="39">
        <f t="shared" ref="V3:V66" si="5">+D3*$V$71</f>
        <v>413961.82829637628</v>
      </c>
      <c r="W3" s="39">
        <f>+C3*$W$71</f>
        <v>57366.20565316343</v>
      </c>
      <c r="X3" s="39">
        <f t="shared" ref="X3:X66" si="6">+D3*$X$71</f>
        <v>423059.8904567362</v>
      </c>
      <c r="Y3" s="39">
        <f>(W3+U3+S3+Q3+O3+M3)/6</f>
        <v>57237.747834312846</v>
      </c>
      <c r="Z3" s="39">
        <f>(X3+V3+T3+R3+P3+N3)/6</f>
        <v>430161.43342079484</v>
      </c>
    </row>
    <row r="4" spans="1:26">
      <c r="A4" s="66"/>
      <c r="B4" s="3" t="s">
        <v>3</v>
      </c>
      <c r="C4" s="45">
        <v>8.0007585013452218E-2</v>
      </c>
      <c r="D4" s="45">
        <v>1.6466229832483248E-2</v>
      </c>
      <c r="E4" s="39">
        <f t="shared" ref="E4:E8" si="7">+C4*$E$71</f>
        <v>47668.759173769875</v>
      </c>
      <c r="F4" s="39">
        <f t="shared" ref="F4:F9" si="8">$D4*$F$71</f>
        <v>2154973.4025972034</v>
      </c>
      <c r="G4" s="39">
        <f t="shared" ref="G4:G8" si="9">+C4*$G$71</f>
        <v>47711.803254507111</v>
      </c>
      <c r="H4" s="39">
        <f t="shared" ref="H4:H9" si="10">+D4*$H$71</f>
        <v>2064392.897893704</v>
      </c>
      <c r="I4" s="39">
        <f t="shared" ref="I4:I8" si="11">+C4*$I$71</f>
        <v>47754.847335244347</v>
      </c>
      <c r="J4" s="39">
        <f t="shared" ref="J4:J67" si="12">+D4*$J$71</f>
        <v>2111438.5863831183</v>
      </c>
      <c r="K4" s="39">
        <f t="shared" ref="K4:K8" si="13">+C4*$K$71</f>
        <v>47797.891415981583</v>
      </c>
      <c r="L4" s="39">
        <f t="shared" si="0"/>
        <v>2022262.4305897506</v>
      </c>
      <c r="M4" s="39">
        <f t="shared" ref="M4:M8" si="14">+C4*$M$71</f>
        <v>47840.935496718819</v>
      </c>
      <c r="N4" s="39">
        <f t="shared" si="1"/>
        <v>2067903.7701690334</v>
      </c>
      <c r="O4" s="39">
        <f t="shared" ref="O4:O8" si="15">+C4*$O$71</f>
        <v>47883.979577456055</v>
      </c>
      <c r="P4" s="39">
        <f t="shared" si="2"/>
        <v>2046136.3620619909</v>
      </c>
      <c r="Q4" s="39">
        <f t="shared" ref="Q4:Q8" si="16">+C4*$Q$71</f>
        <v>47927.023658193299</v>
      </c>
      <c r="R4" s="39">
        <f t="shared" si="3"/>
        <v>1959066.7296338212</v>
      </c>
      <c r="S4" s="39">
        <f t="shared" ref="S4:S8" si="17">+C4*$S$71</f>
        <v>47970.067738930535</v>
      </c>
      <c r="T4" s="39">
        <f t="shared" si="4"/>
        <v>2002601.545847906</v>
      </c>
      <c r="U4" s="39">
        <f t="shared" ref="U4:U8" si="18">+C4*$U$71</f>
        <v>48013.111819667771</v>
      </c>
      <c r="V4" s="39">
        <f t="shared" si="5"/>
        <v>1916936.262329868</v>
      </c>
      <c r="W4" s="39">
        <f t="shared" ref="W4:W8" si="19">+C4*$W$71</f>
        <v>48056.155900405007</v>
      </c>
      <c r="X4" s="39">
        <f t="shared" si="6"/>
        <v>1959066.7296338212</v>
      </c>
      <c r="Y4" s="39">
        <f t="shared" ref="Y4:Y8" si="20">(W4+U4+S4+Q4+O4+M4)/6</f>
        <v>47948.545698561909</v>
      </c>
      <c r="Z4" s="39">
        <f t="shared" ref="Z4:Z67" si="21">(X4+V4+T4+R4+P4+N4)/6</f>
        <v>1991951.8999460733</v>
      </c>
    </row>
    <row r="5" spans="1:26">
      <c r="A5" s="66"/>
      <c r="B5" s="3" t="s">
        <v>4</v>
      </c>
      <c r="C5" s="45">
        <v>0.13619449188479033</v>
      </c>
      <c r="D5" s="45">
        <v>4.5283724543501325E-2</v>
      </c>
      <c r="E5" s="39">
        <f t="shared" si="7"/>
        <v>81145.086848433726</v>
      </c>
      <c r="F5" s="39">
        <f t="shared" si="8"/>
        <v>5926385.271829213</v>
      </c>
      <c r="G5" s="39">
        <f t="shared" si="9"/>
        <v>81218.359485067747</v>
      </c>
      <c r="H5" s="39">
        <f t="shared" si="10"/>
        <v>5677280.1235509571</v>
      </c>
      <c r="I5" s="39">
        <f t="shared" si="11"/>
        <v>81291.632121701768</v>
      </c>
      <c r="J5" s="39">
        <f t="shared" si="12"/>
        <v>5806660.3168427637</v>
      </c>
      <c r="K5" s="39">
        <f t="shared" si="13"/>
        <v>81364.904758335775</v>
      </c>
      <c r="L5" s="39">
        <f t="shared" si="0"/>
        <v>5561417.263886651</v>
      </c>
      <c r="M5" s="39">
        <f t="shared" si="14"/>
        <v>81438.177394969796</v>
      </c>
      <c r="N5" s="39">
        <f t="shared" si="1"/>
        <v>5686935.3618563153</v>
      </c>
      <c r="O5" s="39">
        <f t="shared" si="15"/>
        <v>81511.450031603817</v>
      </c>
      <c r="P5" s="39">
        <f t="shared" si="2"/>
        <v>5627072.8843630916</v>
      </c>
      <c r="Q5" s="39">
        <f t="shared" si="16"/>
        <v>81584.722668237839</v>
      </c>
      <c r="R5" s="39">
        <f t="shared" si="3"/>
        <v>5387622.9743901938</v>
      </c>
      <c r="S5" s="39">
        <f t="shared" si="17"/>
        <v>81657.995304871845</v>
      </c>
      <c r="T5" s="39">
        <f t="shared" si="4"/>
        <v>5507347.9293766422</v>
      </c>
      <c r="U5" s="39">
        <f t="shared" si="18"/>
        <v>81731.267941505866</v>
      </c>
      <c r="V5" s="39">
        <f t="shared" si="5"/>
        <v>5271760.1147258887</v>
      </c>
      <c r="W5" s="39">
        <f t="shared" si="19"/>
        <v>81804.540578139888</v>
      </c>
      <c r="X5" s="39">
        <f t="shared" si="6"/>
        <v>5387622.9743901938</v>
      </c>
      <c r="Y5" s="39">
        <f t="shared" si="20"/>
        <v>81621.358986554842</v>
      </c>
      <c r="Z5" s="39">
        <f t="shared" si="21"/>
        <v>5478060.3731837207</v>
      </c>
    </row>
    <row r="6" spans="1:26">
      <c r="A6" s="66"/>
      <c r="B6" s="3" t="s">
        <v>5</v>
      </c>
      <c r="C6" s="45">
        <v>0.14392551784959126</v>
      </c>
      <c r="D6" s="45">
        <v>6.5438743506242986E-2</v>
      </c>
      <c r="E6" s="39">
        <f t="shared" si="7"/>
        <v>85751.255311340021</v>
      </c>
      <c r="F6" s="39">
        <f t="shared" si="8"/>
        <v>8564118.9993075207</v>
      </c>
      <c r="G6" s="39">
        <f t="shared" si="9"/>
        <v>85828.687239943101</v>
      </c>
      <c r="H6" s="39">
        <f t="shared" si="10"/>
        <v>8204141.3678605771</v>
      </c>
      <c r="I6" s="39">
        <f t="shared" si="11"/>
        <v>85906.119168546182</v>
      </c>
      <c r="J6" s="39">
        <f t="shared" si="12"/>
        <v>8391106.4942710046</v>
      </c>
      <c r="K6" s="39">
        <f t="shared" si="13"/>
        <v>85983.551097149262</v>
      </c>
      <c r="L6" s="39">
        <f t="shared" si="0"/>
        <v>8036709.9113736264</v>
      </c>
      <c r="M6" s="39">
        <f t="shared" si="14"/>
        <v>86060.983025752343</v>
      </c>
      <c r="N6" s="39">
        <f t="shared" si="1"/>
        <v>8218093.9892344894</v>
      </c>
      <c r="O6" s="39">
        <f t="shared" si="15"/>
        <v>86138.414954355423</v>
      </c>
      <c r="P6" s="39">
        <f t="shared" si="2"/>
        <v>8131587.7367162323</v>
      </c>
      <c r="Q6" s="39">
        <f t="shared" si="16"/>
        <v>86215.846882958504</v>
      </c>
      <c r="R6" s="39">
        <f t="shared" si="3"/>
        <v>7785562.726643201</v>
      </c>
      <c r="S6" s="39">
        <f t="shared" si="17"/>
        <v>86293.278811561584</v>
      </c>
      <c r="T6" s="39">
        <f t="shared" si="4"/>
        <v>7958575.2316797171</v>
      </c>
      <c r="U6" s="39">
        <f t="shared" si="18"/>
        <v>86370.710740164664</v>
      </c>
      <c r="V6" s="39">
        <f t="shared" si="5"/>
        <v>7618131.2701562513</v>
      </c>
      <c r="W6" s="39">
        <f t="shared" si="19"/>
        <v>86448.142668767745</v>
      </c>
      <c r="X6" s="39">
        <f t="shared" si="6"/>
        <v>7785562.726643201</v>
      </c>
      <c r="Y6" s="39">
        <f t="shared" si="20"/>
        <v>86254.562847260037</v>
      </c>
      <c r="Z6" s="39">
        <f t="shared" si="21"/>
        <v>7916252.2801788487</v>
      </c>
    </row>
    <row r="7" spans="1:26">
      <c r="A7" s="66"/>
      <c r="B7" s="3" t="s">
        <v>6</v>
      </c>
      <c r="C7" s="45">
        <v>0.18885681474558089</v>
      </c>
      <c r="D7" s="45">
        <v>0.1196118303164963</v>
      </c>
      <c r="E7" s="39">
        <f t="shared" si="7"/>
        <v>112521.45679586133</v>
      </c>
      <c r="F7" s="39">
        <f t="shared" si="8"/>
        <v>15653875.573844513</v>
      </c>
      <c r="G7" s="39">
        <f t="shared" si="9"/>
        <v>112623.06176219445</v>
      </c>
      <c r="H7" s="39">
        <f t="shared" si="10"/>
        <v>14995892.534083698</v>
      </c>
      <c r="I7" s="39">
        <f t="shared" si="11"/>
        <v>112724.66672852758</v>
      </c>
      <c r="J7" s="39">
        <f t="shared" si="12"/>
        <v>15337635.663261795</v>
      </c>
      <c r="K7" s="39">
        <f t="shared" si="13"/>
        <v>112826.2716948607</v>
      </c>
      <c r="L7" s="39">
        <f t="shared" si="0"/>
        <v>14689853.910939131</v>
      </c>
      <c r="M7" s="39">
        <f t="shared" si="14"/>
        <v>112927.87666119382</v>
      </c>
      <c r="N7" s="39">
        <f t="shared" si="1"/>
        <v>15021395.752679078</v>
      </c>
      <c r="O7" s="39">
        <f t="shared" si="15"/>
        <v>113029.48162752694</v>
      </c>
      <c r="P7" s="39">
        <f t="shared" si="2"/>
        <v>14863275.797387719</v>
      </c>
      <c r="Q7" s="39">
        <f t="shared" si="16"/>
        <v>113131.08659386006</v>
      </c>
      <c r="R7" s="39">
        <f t="shared" si="3"/>
        <v>14230795.976222286</v>
      </c>
      <c r="S7" s="39">
        <f t="shared" si="17"/>
        <v>113232.69156019318</v>
      </c>
      <c r="T7" s="39">
        <f t="shared" si="4"/>
        <v>14547035.886805002</v>
      </c>
      <c r="U7" s="39">
        <f t="shared" si="18"/>
        <v>113334.2965265263</v>
      </c>
      <c r="V7" s="39">
        <f t="shared" si="5"/>
        <v>13924757.353077721</v>
      </c>
      <c r="W7" s="39">
        <f t="shared" si="19"/>
        <v>113435.90149285943</v>
      </c>
      <c r="X7" s="39">
        <f t="shared" si="6"/>
        <v>14230795.976222286</v>
      </c>
      <c r="Y7" s="39">
        <f t="shared" si="20"/>
        <v>113181.88907702663</v>
      </c>
      <c r="Z7" s="39">
        <f t="shared" si="21"/>
        <v>14469676.123732349</v>
      </c>
    </row>
    <row r="8" spans="1:26">
      <c r="A8" s="66"/>
      <c r="B8" s="3" t="s">
        <v>7</v>
      </c>
      <c r="C8" s="45">
        <v>0.1476262649417017</v>
      </c>
      <c r="D8" s="45">
        <v>0.18632746915167234</v>
      </c>
      <c r="E8" s="39">
        <f t="shared" si="7"/>
        <v>87956.171531060696</v>
      </c>
      <c r="F8" s="39">
        <f t="shared" si="8"/>
        <v>24385104.804197337</v>
      </c>
      <c r="G8" s="39">
        <f t="shared" si="9"/>
        <v>88035.594461599336</v>
      </c>
      <c r="H8" s="39">
        <f t="shared" si="10"/>
        <v>23360119.949279953</v>
      </c>
      <c r="I8" s="39">
        <f t="shared" si="11"/>
        <v>88115.017392137961</v>
      </c>
      <c r="J8" s="39">
        <f t="shared" si="12"/>
        <v>23892476.424314562</v>
      </c>
      <c r="K8" s="39">
        <f t="shared" si="13"/>
        <v>88194.440322676601</v>
      </c>
      <c r="L8" s="39">
        <f t="shared" si="0"/>
        <v>22883382.807457909</v>
      </c>
      <c r="M8" s="39">
        <f t="shared" si="14"/>
        <v>88273.863253215241</v>
      </c>
      <c r="N8" s="39">
        <f t="shared" si="1"/>
        <v>23399848.044431787</v>
      </c>
      <c r="O8" s="39">
        <f t="shared" si="15"/>
        <v>88353.28618375388</v>
      </c>
      <c r="P8" s="39">
        <f t="shared" si="2"/>
        <v>23153533.854490399</v>
      </c>
      <c r="Q8" s="39">
        <f t="shared" si="16"/>
        <v>88432.709114292506</v>
      </c>
      <c r="R8" s="39">
        <f t="shared" si="3"/>
        <v>22168277.094724853</v>
      </c>
      <c r="S8" s="39">
        <f t="shared" si="17"/>
        <v>88512.132044831145</v>
      </c>
      <c r="T8" s="39">
        <f t="shared" si="4"/>
        <v>22660905.474607628</v>
      </c>
      <c r="U8" s="39">
        <f t="shared" si="18"/>
        <v>88591.554975369785</v>
      </c>
      <c r="V8" s="39">
        <f t="shared" si="5"/>
        <v>21691539.952902813</v>
      </c>
      <c r="W8" s="39">
        <f t="shared" si="19"/>
        <v>88670.97790590841</v>
      </c>
      <c r="X8" s="39">
        <f t="shared" si="6"/>
        <v>22168277.094724853</v>
      </c>
      <c r="Y8" s="39">
        <f t="shared" si="20"/>
        <v>88472.420579561833</v>
      </c>
      <c r="Z8" s="39">
        <f t="shared" si="21"/>
        <v>22540396.919313718</v>
      </c>
    </row>
    <row r="9" spans="1:26" s="59" customFormat="1">
      <c r="A9" s="66"/>
      <c r="B9" s="56" t="s">
        <v>8</v>
      </c>
      <c r="C9" s="57">
        <f>SUM(C3:C8)</f>
        <v>0.7921183464429804</v>
      </c>
      <c r="D9" s="57">
        <f>SUM(D3:D8)</f>
        <v>0.43668387489340765</v>
      </c>
      <c r="E9" s="58"/>
      <c r="F9" s="58">
        <f t="shared" si="8"/>
        <v>57149823.931278199</v>
      </c>
      <c r="G9" s="58"/>
      <c r="H9" s="58">
        <f t="shared" si="10"/>
        <v>54747631.918526523</v>
      </c>
      <c r="I9" s="58"/>
      <c r="J9" s="58">
        <f t="shared" si="12"/>
        <v>55995282.033676617</v>
      </c>
      <c r="K9" s="58"/>
      <c r="L9" s="58">
        <f t="shared" si="0"/>
        <v>53630333.307944342</v>
      </c>
      <c r="M9" s="58"/>
      <c r="N9" s="58">
        <f t="shared" si="1"/>
        <v>54840740.136075035</v>
      </c>
      <c r="O9" s="58"/>
      <c r="P9" s="58">
        <f t="shared" si="2"/>
        <v>54263469.187274247</v>
      </c>
      <c r="Q9" s="58"/>
      <c r="R9" s="58">
        <f t="shared" si="3"/>
        <v>51954385.392071091</v>
      </c>
      <c r="S9" s="58"/>
      <c r="T9" s="58">
        <f t="shared" si="4"/>
        <v>53108927.289672665</v>
      </c>
      <c r="U9" s="58"/>
      <c r="V9" s="58">
        <f t="shared" si="5"/>
        <v>50837086.781488918</v>
      </c>
      <c r="W9" s="58"/>
      <c r="X9" s="58">
        <f t="shared" si="6"/>
        <v>51954385.392071091</v>
      </c>
      <c r="Y9" s="58"/>
      <c r="Z9" s="62">
        <f t="shared" si="21"/>
        <v>52826499.029775508</v>
      </c>
    </row>
    <row r="10" spans="1:26">
      <c r="A10" s="66"/>
      <c r="B10" s="3"/>
      <c r="C10" s="45"/>
      <c r="D10" s="45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>
      <c r="A11" s="66"/>
      <c r="B11" s="3" t="s">
        <v>9</v>
      </c>
      <c r="C11" s="45"/>
      <c r="D11" s="45">
        <v>2.6708681928241772E-4</v>
      </c>
      <c r="E11" s="39"/>
      <c r="F11" s="39">
        <f t="shared" ref="F11:F24" si="22">$D11*$F$71</f>
        <v>34954.266859707488</v>
      </c>
      <c r="G11" s="39"/>
      <c r="H11" s="39">
        <f t="shared" ref="H11:H24" si="23">+D11*$H$71</f>
        <v>33485.025926210503</v>
      </c>
      <c r="I11" s="39"/>
      <c r="J11" s="39">
        <f t="shared" si="12"/>
        <v>34248.120054460873</v>
      </c>
      <c r="K11" s="39"/>
      <c r="L11" s="39">
        <f t="shared" si="0"/>
        <v>32801.658050165381</v>
      </c>
      <c r="M11" s="39"/>
      <c r="N11" s="39">
        <f t="shared" si="1"/>
        <v>33541.973249214258</v>
      </c>
      <c r="O11" s="39"/>
      <c r="P11" s="39">
        <f t="shared" si="2"/>
        <v>33188.899846590954</v>
      </c>
      <c r="Q11" s="39"/>
      <c r="R11" s="39">
        <f t="shared" si="3"/>
        <v>31776.606236097719</v>
      </c>
      <c r="S11" s="39"/>
      <c r="T11" s="39">
        <f t="shared" si="4"/>
        <v>32482.753041344335</v>
      </c>
      <c r="U11" s="39"/>
      <c r="V11" s="39">
        <f t="shared" si="5"/>
        <v>31093.238360052608</v>
      </c>
      <c r="W11" s="39"/>
      <c r="X11" s="39">
        <f t="shared" si="6"/>
        <v>31776.606236097719</v>
      </c>
      <c r="Y11" s="39"/>
      <c r="Z11" s="39">
        <f t="shared" si="21"/>
        <v>32310.012828232935</v>
      </c>
    </row>
    <row r="12" spans="1:26">
      <c r="A12" s="66"/>
      <c r="B12" s="3" t="s">
        <v>10</v>
      </c>
      <c r="C12" s="45"/>
      <c r="D12" s="45">
        <v>1.0434447101721564E-4</v>
      </c>
      <c r="E12" s="39"/>
      <c r="F12" s="39">
        <f t="shared" si="22"/>
        <v>13655.801117666273</v>
      </c>
      <c r="G12" s="39"/>
      <c r="H12" s="39">
        <f t="shared" si="23"/>
        <v>13081.803612231619</v>
      </c>
      <c r="I12" s="39"/>
      <c r="J12" s="39">
        <f t="shared" si="12"/>
        <v>13379.926347612407</v>
      </c>
      <c r="K12" s="39"/>
      <c r="L12" s="39">
        <f t="shared" si="0"/>
        <v>12814.828028308524</v>
      </c>
      <c r="M12" s="39"/>
      <c r="N12" s="39">
        <f t="shared" si="1"/>
        <v>13104.051577558545</v>
      </c>
      <c r="O12" s="39"/>
      <c r="P12" s="39">
        <f t="shared" si="2"/>
        <v>12966.114192531611</v>
      </c>
      <c r="Q12" s="39"/>
      <c r="R12" s="39">
        <f t="shared" si="3"/>
        <v>12414.364652423885</v>
      </c>
      <c r="S12" s="39"/>
      <c r="T12" s="39">
        <f t="shared" si="4"/>
        <v>12690.239422477749</v>
      </c>
      <c r="U12" s="39"/>
      <c r="V12" s="39">
        <f t="shared" si="5"/>
        <v>12147.38906850079</v>
      </c>
      <c r="W12" s="39"/>
      <c r="X12" s="39">
        <f t="shared" si="6"/>
        <v>12414.364652423885</v>
      </c>
      <c r="Y12" s="39"/>
      <c r="Z12" s="39">
        <f t="shared" si="21"/>
        <v>12622.753927652744</v>
      </c>
    </row>
    <row r="13" spans="1:26">
      <c r="A13" s="66"/>
      <c r="B13" s="3" t="s">
        <v>11</v>
      </c>
      <c r="C13" s="45"/>
      <c r="D13" s="45">
        <v>2.5902277724177097E-4</v>
      </c>
      <c r="E13" s="39"/>
      <c r="F13" s="39">
        <f t="shared" si="22"/>
        <v>33898.907114835114</v>
      </c>
      <c r="G13" s="39"/>
      <c r="H13" s="39">
        <f t="shared" si="23"/>
        <v>32474.026366117705</v>
      </c>
      <c r="I13" s="39"/>
      <c r="J13" s="39">
        <f t="shared" si="12"/>
        <v>33214.080708474808</v>
      </c>
      <c r="K13" s="39"/>
      <c r="L13" s="39">
        <f t="shared" si="0"/>
        <v>31811.291134156116</v>
      </c>
      <c r="M13" s="39"/>
      <c r="N13" s="39">
        <f t="shared" si="1"/>
        <v>32529.254302114503</v>
      </c>
      <c r="O13" s="39"/>
      <c r="P13" s="39">
        <f t="shared" si="2"/>
        <v>32186.84109893435</v>
      </c>
      <c r="Q13" s="39"/>
      <c r="R13" s="39">
        <f t="shared" si="3"/>
        <v>30817.188286213743</v>
      </c>
      <c r="S13" s="39"/>
      <c r="T13" s="39">
        <f t="shared" si="4"/>
        <v>31502.014692574048</v>
      </c>
      <c r="U13" s="39"/>
      <c r="V13" s="39">
        <f t="shared" si="5"/>
        <v>30154.453054252157</v>
      </c>
      <c r="W13" s="39"/>
      <c r="X13" s="39">
        <f t="shared" si="6"/>
        <v>30817.188286213743</v>
      </c>
      <c r="Y13" s="39"/>
      <c r="Z13" s="39">
        <f t="shared" si="21"/>
        <v>31334.489953383756</v>
      </c>
    </row>
    <row r="14" spans="1:26" s="59" customFormat="1">
      <c r="A14" s="66"/>
      <c r="B14" s="60" t="s">
        <v>12</v>
      </c>
      <c r="C14" s="61">
        <v>2.8271698441639835E-4</v>
      </c>
      <c r="D14" s="61">
        <f>SUM(D11:D13)</f>
        <v>6.3045406754140435E-4</v>
      </c>
      <c r="E14" s="58">
        <f>+C14*$E$71</f>
        <v>168.44362746624338</v>
      </c>
      <c r="F14" s="58">
        <f t="shared" si="22"/>
        <v>82508.975092208886</v>
      </c>
      <c r="G14" s="58">
        <f>+C14*$G$71</f>
        <v>168.59572920385941</v>
      </c>
      <c r="H14" s="58">
        <f t="shared" si="23"/>
        <v>79040.855904559823</v>
      </c>
      <c r="I14" s="63">
        <f>+C14*$I$71</f>
        <v>168.74783094147543</v>
      </c>
      <c r="J14" s="58">
        <f t="shared" si="12"/>
        <v>80842.127110548085</v>
      </c>
      <c r="K14" s="58">
        <f t="shared" ref="K14" si="24">+C14*$K$71</f>
        <v>168.89993267909145</v>
      </c>
      <c r="L14" s="58">
        <f t="shared" si="0"/>
        <v>77427.777212630026</v>
      </c>
      <c r="M14" s="58">
        <f>+C14*$M$71</f>
        <v>169.05203441670747</v>
      </c>
      <c r="N14" s="58">
        <f t="shared" si="1"/>
        <v>79175.279128887312</v>
      </c>
      <c r="O14" s="58">
        <f>+C14*$O$71</f>
        <v>169.20413615432349</v>
      </c>
      <c r="P14" s="58">
        <f t="shared" si="2"/>
        <v>78341.855138056912</v>
      </c>
      <c r="Q14" s="58">
        <f>+C14*$Q$71</f>
        <v>169.35623789193951</v>
      </c>
      <c r="R14" s="58">
        <f t="shared" si="3"/>
        <v>75008.159174735352</v>
      </c>
      <c r="S14" s="58">
        <f>+C14*$S$71</f>
        <v>169.50833962955554</v>
      </c>
      <c r="T14" s="58">
        <f t="shared" si="4"/>
        <v>76675.007156396139</v>
      </c>
      <c r="U14" s="58">
        <f>+C14*$U$71</f>
        <v>169.66044136717156</v>
      </c>
      <c r="V14" s="58">
        <f t="shared" si="5"/>
        <v>73395.080482805555</v>
      </c>
      <c r="W14" s="58">
        <f>+C14*$W$71</f>
        <v>169.81254310478758</v>
      </c>
      <c r="X14" s="58">
        <f t="shared" si="6"/>
        <v>75008.159174735352</v>
      </c>
      <c r="Y14" s="62">
        <f t="shared" ref="Y14" si="25">(W14+U14+S14+Q14+O14+M14)/6</f>
        <v>169.43228876074753</v>
      </c>
      <c r="Z14" s="62">
        <f t="shared" si="21"/>
        <v>76267.256709269437</v>
      </c>
    </row>
    <row r="15" spans="1:26" s="52" customFormat="1">
      <c r="A15" s="66"/>
      <c r="B15" s="49" t="s">
        <v>13</v>
      </c>
      <c r="C15" s="50">
        <f>+C14+C9</f>
        <v>0.7924010634273968</v>
      </c>
      <c r="D15" s="50">
        <f>+D14+D9</f>
        <v>0.43731432896094907</v>
      </c>
      <c r="E15" s="51"/>
      <c r="F15" s="51">
        <f t="shared" si="22"/>
        <v>57232332.906370409</v>
      </c>
      <c r="G15" s="51"/>
      <c r="H15" s="51">
        <f t="shared" si="23"/>
        <v>54826672.774431087</v>
      </c>
      <c r="I15" s="51"/>
      <c r="J15" s="51">
        <f t="shared" si="12"/>
        <v>56076124.160787165</v>
      </c>
      <c r="K15" s="51"/>
      <c r="L15" s="51">
        <f t="shared" si="0"/>
        <v>53707761.085156977</v>
      </c>
      <c r="M15" s="51"/>
      <c r="N15" s="51">
        <f t="shared" si="1"/>
        <v>54919915.415203921</v>
      </c>
      <c r="O15" s="51"/>
      <c r="P15" s="51">
        <f t="shared" si="2"/>
        <v>54341811.042412303</v>
      </c>
      <c r="Q15" s="51"/>
      <c r="R15" s="51">
        <f t="shared" si="3"/>
        <v>52029393.551245831</v>
      </c>
      <c r="S15" s="51"/>
      <c r="T15" s="51">
        <f t="shared" si="4"/>
        <v>53185602.296829067</v>
      </c>
      <c r="U15" s="51"/>
      <c r="V15" s="51">
        <f t="shared" si="5"/>
        <v>50910481.861971729</v>
      </c>
      <c r="W15" s="51"/>
      <c r="X15" s="51">
        <f t="shared" si="6"/>
        <v>52029393.551245831</v>
      </c>
      <c r="Y15" s="51"/>
      <c r="Z15" s="53">
        <f>Z14+Z9</f>
        <v>52902766.286484778</v>
      </c>
    </row>
    <row r="16" spans="1:26">
      <c r="A16" s="66" t="s">
        <v>14</v>
      </c>
      <c r="B16" s="3" t="s">
        <v>2</v>
      </c>
      <c r="C16" s="45">
        <v>9.6753362131280385E-4</v>
      </c>
      <c r="D16" s="45">
        <v>4.6690624036428585E-5</v>
      </c>
      <c r="E16" s="39">
        <f t="shared" ref="E16:E20" si="26">+C16*$E$71</f>
        <v>576.45943417903243</v>
      </c>
      <c r="F16" s="39">
        <f t="shared" si="22"/>
        <v>6110.5094470793847</v>
      </c>
      <c r="G16" s="39">
        <f t="shared" ref="G16:G20" si="27">+C16*$G$71</f>
        <v>576.97996726729878</v>
      </c>
      <c r="H16" s="39">
        <f t="shared" si="23"/>
        <v>5853.6649639665657</v>
      </c>
      <c r="I16" s="39">
        <f t="shared" ref="I16:I20" si="28">+C16*$I$71</f>
        <v>577.50050035556501</v>
      </c>
      <c r="J16" s="39">
        <f t="shared" si="12"/>
        <v>5987.0648117848505</v>
      </c>
      <c r="K16" s="39">
        <f t="shared" ref="K16:K20" si="29">+C16*$K$71</f>
        <v>578.02103344383136</v>
      </c>
      <c r="L16" s="39">
        <f t="shared" si="0"/>
        <v>5734.2024136815326</v>
      </c>
      <c r="M16" s="39">
        <f t="shared" ref="M16:M20" si="30">+C16*$M$71</f>
        <v>578.54156653209759</v>
      </c>
      <c r="N16" s="39">
        <f t="shared" si="1"/>
        <v>5863.620176490318</v>
      </c>
      <c r="O16" s="39">
        <f t="shared" ref="O16:O20" si="31">+C16*$O$71</f>
        <v>579.06209962036394</v>
      </c>
      <c r="P16" s="39">
        <f t="shared" si="2"/>
        <v>5801.8978588430518</v>
      </c>
      <c r="Q16" s="39">
        <f t="shared" ref="Q16:Q20" si="32">+C16*$Q$71</f>
        <v>579.58263270863017</v>
      </c>
      <c r="R16" s="39">
        <f t="shared" si="3"/>
        <v>5555.0085882539861</v>
      </c>
      <c r="S16" s="39">
        <f t="shared" ref="S16:S20" si="33">+C16*$S$71</f>
        <v>580.10316579689652</v>
      </c>
      <c r="T16" s="39">
        <f t="shared" si="4"/>
        <v>5678.4532235485185</v>
      </c>
      <c r="U16" s="39">
        <f t="shared" ref="U16:U20" si="34">+C16*$U$71</f>
        <v>580.62369888516275</v>
      </c>
      <c r="V16" s="39">
        <f t="shared" si="5"/>
        <v>5435.5460379689539</v>
      </c>
      <c r="W16" s="39">
        <f t="shared" ref="W16:W20" si="35">+C16*$W$71</f>
        <v>581.1442319734291</v>
      </c>
      <c r="X16" s="39">
        <f t="shared" si="6"/>
        <v>5555.0085882539861</v>
      </c>
      <c r="Y16" s="39">
        <f t="shared" ref="Y16:Y23" si="36">(W16+U16+S16+Q16+O16+M16)/6</f>
        <v>579.84289925276335</v>
      </c>
      <c r="Z16" s="39">
        <f t="shared" si="21"/>
        <v>5648.2557455598026</v>
      </c>
    </row>
    <row r="17" spans="1:26">
      <c r="A17" s="66"/>
      <c r="B17" s="3" t="s">
        <v>15</v>
      </c>
      <c r="C17" s="45">
        <v>6.2498118198869618E-4</v>
      </c>
      <c r="D17" s="45">
        <v>1.5483431161675371E-4</v>
      </c>
      <c r="E17" s="39">
        <f t="shared" si="26"/>
        <v>372.36566317241113</v>
      </c>
      <c r="F17" s="39">
        <f t="shared" si="22"/>
        <v>20263.522781962292</v>
      </c>
      <c r="G17" s="39">
        <f t="shared" si="27"/>
        <v>372.70190304832107</v>
      </c>
      <c r="H17" s="39">
        <f t="shared" si="23"/>
        <v>19411.781355154493</v>
      </c>
      <c r="I17" s="39">
        <f t="shared" si="28"/>
        <v>373.03814292423101</v>
      </c>
      <c r="J17" s="39">
        <f t="shared" si="12"/>
        <v>19854.15868535699</v>
      </c>
      <c r="K17" s="39">
        <f t="shared" si="29"/>
        <v>373.37438280014089</v>
      </c>
      <c r="L17" s="39">
        <f t="shared" si="0"/>
        <v>19015.622551988072</v>
      </c>
      <c r="M17" s="39">
        <f t="shared" si="30"/>
        <v>373.71062267605083</v>
      </c>
      <c r="N17" s="39">
        <f t="shared" si="1"/>
        <v>19444.794588751694</v>
      </c>
      <c r="O17" s="39">
        <f t="shared" si="31"/>
        <v>374.04686255196071</v>
      </c>
      <c r="P17" s="39">
        <f t="shared" si="2"/>
        <v>19240.112540449045</v>
      </c>
      <c r="Q17" s="39">
        <f t="shared" si="32"/>
        <v>374.38310242787065</v>
      </c>
      <c r="R17" s="39">
        <f t="shared" si="3"/>
        <v>18421.384347238447</v>
      </c>
      <c r="S17" s="39">
        <f t="shared" si="33"/>
        <v>374.71934230378059</v>
      </c>
      <c r="T17" s="39">
        <f t="shared" si="4"/>
        <v>18830.748443843746</v>
      </c>
      <c r="U17" s="39">
        <f t="shared" si="34"/>
        <v>375.05558217969048</v>
      </c>
      <c r="V17" s="39">
        <f t="shared" si="5"/>
        <v>18025.225544072029</v>
      </c>
      <c r="W17" s="39">
        <f t="shared" si="35"/>
        <v>375.39182205560041</v>
      </c>
      <c r="X17" s="39">
        <f t="shared" si="6"/>
        <v>18421.384347238447</v>
      </c>
      <c r="Y17" s="39">
        <f t="shared" si="36"/>
        <v>374.55122236582559</v>
      </c>
      <c r="Z17" s="39">
        <f t="shared" si="21"/>
        <v>18730.608301932236</v>
      </c>
    </row>
    <row r="18" spans="1:26">
      <c r="A18" s="66"/>
      <c r="B18" s="3" t="s">
        <v>5</v>
      </c>
      <c r="C18" s="45">
        <v>2.1817251036004284E-4</v>
      </c>
      <c r="D18" s="45">
        <v>1.0024177210309812E-4</v>
      </c>
      <c r="E18" s="39">
        <f t="shared" si="26"/>
        <v>129.98783619004462</v>
      </c>
      <c r="F18" s="39">
        <f t="shared" si="22"/>
        <v>13118.871466572344</v>
      </c>
      <c r="G18" s="39">
        <f t="shared" si="27"/>
        <v>130.10521300061831</v>
      </c>
      <c r="H18" s="39">
        <f t="shared" si="23"/>
        <v>12567.442851652881</v>
      </c>
      <c r="I18" s="39">
        <f t="shared" si="28"/>
        <v>130.22258981119202</v>
      </c>
      <c r="J18" s="39">
        <f t="shared" si="12"/>
        <v>12853.84376017694</v>
      </c>
      <c r="K18" s="39">
        <f t="shared" si="29"/>
        <v>130.33996662176571</v>
      </c>
      <c r="L18" s="39">
        <f t="shared" si="0"/>
        <v>12310.964426108942</v>
      </c>
      <c r="M18" s="39">
        <f t="shared" si="30"/>
        <v>130.45734343233943</v>
      </c>
      <c r="N18" s="39">
        <f t="shared" si="1"/>
        <v>12588.81605378154</v>
      </c>
      <c r="O18" s="39">
        <f t="shared" si="31"/>
        <v>130.57472024291312</v>
      </c>
      <c r="P18" s="39">
        <f t="shared" si="2"/>
        <v>12456.302200583841</v>
      </c>
      <c r="Q18" s="39">
        <f t="shared" si="32"/>
        <v>130.69209705348683</v>
      </c>
      <c r="R18" s="39">
        <f t="shared" si="3"/>
        <v>11926.246787793039</v>
      </c>
      <c r="S18" s="39">
        <f t="shared" si="33"/>
        <v>130.80947386406052</v>
      </c>
      <c r="T18" s="39">
        <f t="shared" si="4"/>
        <v>12191.274494188439</v>
      </c>
      <c r="U18" s="39">
        <f t="shared" si="34"/>
        <v>130.92685067463424</v>
      </c>
      <c r="V18" s="39">
        <f t="shared" si="5"/>
        <v>11669.768362249104</v>
      </c>
      <c r="W18" s="39">
        <f t="shared" si="35"/>
        <v>131.04422748520793</v>
      </c>
      <c r="X18" s="39">
        <f t="shared" si="6"/>
        <v>11926.246787793039</v>
      </c>
      <c r="Y18" s="39">
        <f t="shared" si="36"/>
        <v>130.75078545877366</v>
      </c>
      <c r="Z18" s="39">
        <f t="shared" si="21"/>
        <v>12126.442447731499</v>
      </c>
    </row>
    <row r="19" spans="1:26">
      <c r="A19" s="66"/>
      <c r="B19" s="3" t="s">
        <v>6</v>
      </c>
      <c r="C19" s="45">
        <v>3.8671685659442929E-4</v>
      </c>
      <c r="D19" s="45">
        <v>2.559826324273868E-4</v>
      </c>
      <c r="E19" s="39">
        <f t="shared" si="26"/>
        <v>230.40706330953074</v>
      </c>
      <c r="F19" s="39">
        <f t="shared" si="22"/>
        <v>33501.036364718559</v>
      </c>
      <c r="G19" s="39">
        <f t="shared" si="27"/>
        <v>230.61511697837855</v>
      </c>
      <c r="H19" s="39">
        <f t="shared" si="23"/>
        <v>32092.879410971836</v>
      </c>
      <c r="I19" s="39">
        <f t="shared" si="28"/>
        <v>230.82317064722636</v>
      </c>
      <c r="J19" s="39">
        <f t="shared" si="12"/>
        <v>32824.247751289899</v>
      </c>
      <c r="K19" s="39">
        <f t="shared" si="29"/>
        <v>231.03122431607417</v>
      </c>
      <c r="L19" s="39">
        <f t="shared" si="0"/>
        <v>31437.922688298939</v>
      </c>
      <c r="M19" s="39">
        <f t="shared" si="30"/>
        <v>231.23927798492196</v>
      </c>
      <c r="N19" s="39">
        <f t="shared" si="1"/>
        <v>32147.459137861246</v>
      </c>
      <c r="O19" s="39">
        <f t="shared" si="31"/>
        <v>231.44733165376977</v>
      </c>
      <c r="P19" s="39">
        <f t="shared" si="2"/>
        <v>31809.064831146916</v>
      </c>
      <c r="Q19" s="39">
        <f t="shared" si="32"/>
        <v>231.65538532261758</v>
      </c>
      <c r="R19" s="39">
        <f t="shared" si="3"/>
        <v>30455.487604289603</v>
      </c>
      <c r="S19" s="39">
        <f t="shared" si="33"/>
        <v>231.86343899146539</v>
      </c>
      <c r="T19" s="39">
        <f t="shared" si="4"/>
        <v>31132.276217718259</v>
      </c>
      <c r="U19" s="39">
        <f t="shared" si="34"/>
        <v>232.07149266031317</v>
      </c>
      <c r="V19" s="39">
        <f t="shared" si="5"/>
        <v>29800.530881616709</v>
      </c>
      <c r="W19" s="39">
        <f t="shared" si="35"/>
        <v>232.27954632916098</v>
      </c>
      <c r="X19" s="39">
        <f t="shared" si="6"/>
        <v>30455.487604289603</v>
      </c>
      <c r="Y19" s="39">
        <f t="shared" si="36"/>
        <v>231.75941215704151</v>
      </c>
      <c r="Z19" s="39">
        <f t="shared" si="21"/>
        <v>30966.717712820391</v>
      </c>
    </row>
    <row r="20" spans="1:26">
      <c r="A20" s="66"/>
      <c r="B20" s="3" t="s">
        <v>7</v>
      </c>
      <c r="C20" s="45">
        <v>2.0803009404469254E-3</v>
      </c>
      <c r="D20" s="45">
        <v>5.8218854483512855E-3</v>
      </c>
      <c r="E20" s="39">
        <f t="shared" si="26"/>
        <v>1239.4495412210995</v>
      </c>
      <c r="F20" s="39">
        <f t="shared" si="22"/>
        <v>761923.55030870286</v>
      </c>
      <c r="G20" s="39">
        <f t="shared" si="27"/>
        <v>1240.5687431270599</v>
      </c>
      <c r="H20" s="39">
        <f t="shared" si="23"/>
        <v>729897.43822339084</v>
      </c>
      <c r="I20" s="39">
        <f t="shared" si="28"/>
        <v>1241.6879450330205</v>
      </c>
      <c r="J20" s="39">
        <f t="shared" si="12"/>
        <v>746531.1553529714</v>
      </c>
      <c r="K20" s="39">
        <f t="shared" si="29"/>
        <v>1242.8071469389808</v>
      </c>
      <c r="L20" s="39">
        <f t="shared" si="0"/>
        <v>715001.57213719911</v>
      </c>
      <c r="M20" s="39">
        <f t="shared" si="30"/>
        <v>1243.9263488449412</v>
      </c>
      <c r="N20" s="39">
        <f t="shared" si="1"/>
        <v>731138.76039724005</v>
      </c>
      <c r="O20" s="39">
        <f t="shared" si="31"/>
        <v>1245.0455507509016</v>
      </c>
      <c r="P20" s="39">
        <f t="shared" si="2"/>
        <v>723442.56291937444</v>
      </c>
      <c r="Q20" s="39">
        <f t="shared" si="32"/>
        <v>1246.1647526568622</v>
      </c>
      <c r="R20" s="39">
        <f t="shared" si="3"/>
        <v>692657.77300791175</v>
      </c>
      <c r="S20" s="39">
        <f t="shared" si="33"/>
        <v>1247.2839545628226</v>
      </c>
      <c r="T20" s="39">
        <f t="shared" si="4"/>
        <v>708050.16796364309</v>
      </c>
      <c r="U20" s="39">
        <f t="shared" si="34"/>
        <v>1248.403156468783</v>
      </c>
      <c r="V20" s="39">
        <f t="shared" si="5"/>
        <v>677761.90692172013</v>
      </c>
      <c r="W20" s="39">
        <f t="shared" si="35"/>
        <v>1249.5223583747436</v>
      </c>
      <c r="X20" s="39">
        <f t="shared" si="6"/>
        <v>692657.77300791175</v>
      </c>
      <c r="Y20" s="39">
        <f t="shared" si="36"/>
        <v>1246.7243536098424</v>
      </c>
      <c r="Z20" s="39">
        <f t="shared" si="21"/>
        <v>704284.82403630018</v>
      </c>
    </row>
    <row r="21" spans="1:26" s="52" customFormat="1">
      <c r="A21" s="66"/>
      <c r="B21" s="49" t="s">
        <v>16</v>
      </c>
      <c r="C21" s="50">
        <f>SUM(C16:C20)</f>
        <v>4.2777051107028979E-3</v>
      </c>
      <c r="D21" s="50">
        <f>SUM(D16:D20)</f>
        <v>6.379634788534953E-3</v>
      </c>
      <c r="E21" s="51"/>
      <c r="F21" s="51">
        <f t="shared" si="22"/>
        <v>834917.49036903551</v>
      </c>
      <c r="G21" s="51"/>
      <c r="H21" s="51">
        <f t="shared" si="23"/>
        <v>799823.20680513664</v>
      </c>
      <c r="I21" s="51"/>
      <c r="J21" s="51">
        <f t="shared" si="12"/>
        <v>818050.47036158014</v>
      </c>
      <c r="K21" s="51"/>
      <c r="L21" s="51">
        <f t="shared" si="0"/>
        <v>783500.28421727661</v>
      </c>
      <c r="M21" s="51"/>
      <c r="N21" s="51">
        <f t="shared" si="1"/>
        <v>801183.45035412489</v>
      </c>
      <c r="O21" s="51"/>
      <c r="P21" s="51">
        <f t="shared" si="2"/>
        <v>792749.94035039726</v>
      </c>
      <c r="Q21" s="51"/>
      <c r="R21" s="51">
        <f t="shared" si="3"/>
        <v>759015.90033548686</v>
      </c>
      <c r="S21" s="51"/>
      <c r="T21" s="51">
        <f t="shared" si="4"/>
        <v>775882.92034294212</v>
      </c>
      <c r="U21" s="51"/>
      <c r="V21" s="51">
        <f t="shared" si="5"/>
        <v>742692.97774762695</v>
      </c>
      <c r="W21" s="51"/>
      <c r="X21" s="51">
        <f t="shared" si="6"/>
        <v>759015.90033548686</v>
      </c>
      <c r="Y21" s="51"/>
      <c r="Z21" s="53">
        <f>SUM(Z16:Z20)</f>
        <v>771756.84824434412</v>
      </c>
    </row>
    <row r="22" spans="1:26">
      <c r="A22" s="72" t="s">
        <v>17</v>
      </c>
      <c r="B22" s="3" t="s">
        <v>18</v>
      </c>
      <c r="C22" s="45">
        <v>7.2488667081017505E-2</v>
      </c>
      <c r="D22" s="45">
        <v>2.1694521116174075E-2</v>
      </c>
      <c r="E22" s="39">
        <f t="shared" ref="E22:E23" si="37">+C22*$E$71</f>
        <v>43188.965312871471</v>
      </c>
      <c r="F22" s="39">
        <f t="shared" si="22"/>
        <v>2839211.9181533405</v>
      </c>
      <c r="G22" s="39">
        <f t="shared" ref="G22:G23" si="38">+C22*$G$71</f>
        <v>43227.964215761058</v>
      </c>
      <c r="H22" s="39">
        <f t="shared" si="23"/>
        <v>2719870.6547314506</v>
      </c>
      <c r="I22" s="39">
        <f t="shared" ref="I22:I23" si="39">+C22*$I$71</f>
        <v>43266.963118650645</v>
      </c>
      <c r="J22" s="39">
        <f t="shared" si="12"/>
        <v>2781854.1016249899</v>
      </c>
      <c r="K22" s="39">
        <f t="shared" ref="K22:K23" si="40">+C22*$K$71</f>
        <v>43305.962021540232</v>
      </c>
      <c r="L22" s="39">
        <f t="shared" si="0"/>
        <v>2664363.0903491755</v>
      </c>
      <c r="M22" s="39">
        <f t="shared" ref="M22:M23" si="41">+C22*$M$71</f>
        <v>43344.960924429819</v>
      </c>
      <c r="N22" s="39">
        <f t="shared" si="1"/>
        <v>2724496.2850966398</v>
      </c>
      <c r="O22" s="39">
        <f t="shared" ref="O22:O23" si="42">+C22*$O$71</f>
        <v>43383.959827319406</v>
      </c>
      <c r="P22" s="39">
        <f t="shared" si="2"/>
        <v>2695817.3768324647</v>
      </c>
      <c r="Q22" s="39">
        <f t="shared" ref="Q22:Q23" si="43">+C22*$Q$71</f>
        <v>43422.958730209</v>
      </c>
      <c r="R22" s="39">
        <f t="shared" si="3"/>
        <v>2581101.7437757645</v>
      </c>
      <c r="S22" s="39">
        <f t="shared" ref="S22:S23" si="44">+C22*$S$71</f>
        <v>43461.957633098587</v>
      </c>
      <c r="T22" s="39">
        <f t="shared" si="4"/>
        <v>2638459.5603041146</v>
      </c>
      <c r="U22" s="39">
        <f t="shared" ref="U22:U23" si="45">+C22*$U$71</f>
        <v>43500.956535988174</v>
      </c>
      <c r="V22" s="39">
        <f t="shared" si="5"/>
        <v>2525594.1793934898</v>
      </c>
      <c r="W22" s="39">
        <f t="shared" ref="W22:W23" si="46">+C22*$W$71</f>
        <v>43539.955438877761</v>
      </c>
      <c r="X22" s="39">
        <f t="shared" si="6"/>
        <v>2581101.7437757645</v>
      </c>
      <c r="Y22" s="39">
        <f t="shared" si="36"/>
        <v>43442.45818165379</v>
      </c>
      <c r="Z22" s="39">
        <f t="shared" si="21"/>
        <v>2624428.4815297066</v>
      </c>
    </row>
    <row r="23" spans="1:26">
      <c r="A23" s="72"/>
      <c r="B23" s="3" t="s">
        <v>19</v>
      </c>
      <c r="C23" s="45">
        <v>7.9061079551271007E-2</v>
      </c>
      <c r="D23" s="45">
        <v>0.1652369033705034</v>
      </c>
      <c r="E23" s="39">
        <f t="shared" si="37"/>
        <v>47104.828379885919</v>
      </c>
      <c r="F23" s="39">
        <f t="shared" si="22"/>
        <v>21624933.911010455</v>
      </c>
      <c r="G23" s="39">
        <f t="shared" si="38"/>
        <v>47147.363240684506</v>
      </c>
      <c r="H23" s="39">
        <f t="shared" si="23"/>
        <v>20715967.969491933</v>
      </c>
      <c r="I23" s="39">
        <f t="shared" si="39"/>
        <v>47189.898101483086</v>
      </c>
      <c r="J23" s="39">
        <f t="shared" si="12"/>
        <v>21188066.559272867</v>
      </c>
      <c r="K23" s="39">
        <f t="shared" si="40"/>
        <v>47232.432962281673</v>
      </c>
      <c r="L23" s="39">
        <f t="shared" si="0"/>
        <v>20293193.112971686</v>
      </c>
      <c r="M23" s="39">
        <f t="shared" si="41"/>
        <v>47274.967823080253</v>
      </c>
      <c r="N23" s="39">
        <f t="shared" si="1"/>
        <v>20751199.207535286</v>
      </c>
      <c r="O23" s="39">
        <f t="shared" si="42"/>
        <v>47317.50268387884</v>
      </c>
      <c r="P23" s="39">
        <f t="shared" si="2"/>
        <v>20532765.531666491</v>
      </c>
      <c r="Q23" s="39">
        <f t="shared" si="43"/>
        <v>47360.03754467742</v>
      </c>
      <c r="R23" s="39">
        <f t="shared" si="3"/>
        <v>19659030.828191321</v>
      </c>
      <c r="S23" s="39">
        <f t="shared" si="44"/>
        <v>47402.572405476007</v>
      </c>
      <c r="T23" s="39">
        <f t="shared" si="4"/>
        <v>20095898.179928906</v>
      </c>
      <c r="U23" s="39">
        <f t="shared" si="45"/>
        <v>47445.107266274594</v>
      </c>
      <c r="V23" s="39">
        <f t="shared" si="5"/>
        <v>19236255.971671078</v>
      </c>
      <c r="W23" s="39">
        <f t="shared" si="46"/>
        <v>47487.642127073173</v>
      </c>
      <c r="X23" s="39">
        <f t="shared" si="6"/>
        <v>19659030.828191321</v>
      </c>
      <c r="Y23" s="39">
        <f t="shared" si="36"/>
        <v>47381.304975076717</v>
      </c>
      <c r="Z23" s="39">
        <f t="shared" si="21"/>
        <v>19989030.091197398</v>
      </c>
    </row>
    <row r="24" spans="1:26" s="59" customFormat="1">
      <c r="A24" s="72"/>
      <c r="B24" s="56" t="s">
        <v>20</v>
      </c>
      <c r="C24" s="57">
        <f>SUM(C22:C23)</f>
        <v>0.15154974663228851</v>
      </c>
      <c r="D24" s="57">
        <f>SUM(D22:D23)</f>
        <v>0.18693142448667746</v>
      </c>
      <c r="E24" s="58"/>
      <c r="F24" s="58">
        <f t="shared" si="22"/>
        <v>24464145.829163793</v>
      </c>
      <c r="G24" s="58"/>
      <c r="H24" s="58">
        <f t="shared" si="23"/>
        <v>23435838.624223381</v>
      </c>
      <c r="I24" s="58"/>
      <c r="J24" s="58">
        <f t="shared" si="12"/>
        <v>23969920.660897858</v>
      </c>
      <c r="K24" s="58"/>
      <c r="L24" s="58">
        <f t="shared" si="0"/>
        <v>22957556.203320861</v>
      </c>
      <c r="M24" s="58"/>
      <c r="N24" s="58">
        <f t="shared" si="1"/>
        <v>23475695.492631923</v>
      </c>
      <c r="O24" s="58"/>
      <c r="P24" s="58">
        <f t="shared" si="2"/>
        <v>23228582.908498954</v>
      </c>
      <c r="Q24" s="58"/>
      <c r="R24" s="58">
        <f t="shared" si="3"/>
        <v>22240132.571967088</v>
      </c>
      <c r="S24" s="58"/>
      <c r="T24" s="58">
        <f t="shared" si="4"/>
        <v>22734357.740233019</v>
      </c>
      <c r="U24" s="58"/>
      <c r="V24" s="58">
        <f t="shared" si="5"/>
        <v>21761850.151064567</v>
      </c>
      <c r="W24" s="58"/>
      <c r="X24" s="58">
        <f t="shared" si="6"/>
        <v>22240132.571967088</v>
      </c>
      <c r="Y24" s="58"/>
      <c r="Z24" s="62">
        <f t="shared" si="21"/>
        <v>22613458.57272711</v>
      </c>
    </row>
    <row r="25" spans="1:26">
      <c r="A25" s="72"/>
      <c r="B25" s="3"/>
      <c r="C25" s="45"/>
      <c r="D25" s="45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>
      <c r="A26" s="72"/>
      <c r="B26" s="3" t="s">
        <v>21</v>
      </c>
      <c r="C26" s="45"/>
      <c r="D26" s="45">
        <v>8.1084170862314425E-2</v>
      </c>
      <c r="E26" s="39"/>
      <c r="F26" s="39">
        <f>$D26*$F$71</f>
        <v>10611672.09237133</v>
      </c>
      <c r="G26" s="39"/>
      <c r="H26" s="39">
        <f>$D26*$H$71</f>
        <v>10165629.179397754</v>
      </c>
      <c r="I26" s="39"/>
      <c r="J26" s="39">
        <f t="shared" si="12"/>
        <v>10397294.878384029</v>
      </c>
      <c r="K26" s="39"/>
      <c r="L26" s="39">
        <f t="shared" si="0"/>
        <v>9958167.3594100438</v>
      </c>
      <c r="M26" s="39"/>
      <c r="N26" s="39">
        <f t="shared" si="1"/>
        <v>10182917.664396731</v>
      </c>
      <c r="O26" s="39"/>
      <c r="P26" s="39">
        <f t="shared" si="2"/>
        <v>10075729.05740308</v>
      </c>
      <c r="Q26" s="39"/>
      <c r="R26" s="39">
        <f t="shared" si="3"/>
        <v>9646974.6294284817</v>
      </c>
      <c r="S26" s="39"/>
      <c r="T26" s="39">
        <f t="shared" si="4"/>
        <v>9861351.8434157819</v>
      </c>
      <c r="U26" s="39"/>
      <c r="V26" s="39">
        <f t="shared" si="5"/>
        <v>9439512.809440773</v>
      </c>
      <c r="W26" s="39"/>
      <c r="X26" s="39">
        <f t="shared" si="6"/>
        <v>9646974.6294284817</v>
      </c>
      <c r="Y26" s="39"/>
      <c r="Z26" s="39">
        <f t="shared" si="21"/>
        <v>9808910.1055855546</v>
      </c>
    </row>
    <row r="27" spans="1:26">
      <c r="A27" s="72"/>
      <c r="B27" s="3" t="s">
        <v>22</v>
      </c>
      <c r="C27" s="45"/>
      <c r="D27" s="45">
        <v>2.1519953157815179E-2</v>
      </c>
      <c r="E27" s="39"/>
      <c r="F27" s="39">
        <f>$D27*$F$71</f>
        <v>2816365.8075963873</v>
      </c>
      <c r="G27" s="39"/>
      <c r="H27" s="39">
        <f t="shared" ref="H27:H29" si="47">+D27*$H$71</f>
        <v>2697984.8401216613</v>
      </c>
      <c r="I27" s="39"/>
      <c r="J27" s="39">
        <f t="shared" si="12"/>
        <v>2759469.5286550457</v>
      </c>
      <c r="K27" s="39"/>
      <c r="L27" s="39">
        <f t="shared" si="0"/>
        <v>2642923.9250171371</v>
      </c>
      <c r="M27" s="39"/>
      <c r="N27" s="39">
        <f t="shared" si="1"/>
        <v>2702573.2497137049</v>
      </c>
      <c r="O27" s="39"/>
      <c r="P27" s="39">
        <f t="shared" si="2"/>
        <v>2674125.1102430341</v>
      </c>
      <c r="Q27" s="39"/>
      <c r="R27" s="39">
        <f t="shared" si="3"/>
        <v>2560332.5523603521</v>
      </c>
      <c r="S27" s="39"/>
      <c r="T27" s="39">
        <f t="shared" si="4"/>
        <v>2617228.8313016933</v>
      </c>
      <c r="U27" s="39"/>
      <c r="V27" s="39">
        <f t="shared" si="5"/>
        <v>2505271.6372558284</v>
      </c>
      <c r="W27" s="39"/>
      <c r="X27" s="39">
        <f t="shared" si="6"/>
        <v>2560332.5523603521</v>
      </c>
      <c r="Y27" s="39"/>
      <c r="Z27" s="39">
        <f t="shared" si="21"/>
        <v>2603310.6555391606</v>
      </c>
    </row>
    <row r="28" spans="1:26">
      <c r="A28" s="72"/>
      <c r="B28" s="3" t="s">
        <v>23</v>
      </c>
      <c r="C28" s="45"/>
      <c r="D28" s="45">
        <v>2.2176891405672056E-2</v>
      </c>
      <c r="E28" s="39"/>
      <c r="F28" s="39">
        <f>$D28*$F$71</f>
        <v>2902340.8283317126</v>
      </c>
      <c r="G28" s="39"/>
      <c r="H28" s="39">
        <f t="shared" si="47"/>
        <v>2780346.0525562838</v>
      </c>
      <c r="I28" s="39"/>
      <c r="J28" s="39">
        <f t="shared" si="12"/>
        <v>2843707.6802846068</v>
      </c>
      <c r="K28" s="39"/>
      <c r="L28" s="39">
        <f t="shared" si="0"/>
        <v>2723604.2963816654</v>
      </c>
      <c r="M28" s="39"/>
      <c r="N28" s="39">
        <f t="shared" si="1"/>
        <v>2785074.5322375018</v>
      </c>
      <c r="O28" s="39"/>
      <c r="P28" s="39">
        <f t="shared" si="2"/>
        <v>2755757.9582139491</v>
      </c>
      <c r="Q28" s="39"/>
      <c r="R28" s="39">
        <f t="shared" si="3"/>
        <v>2638491.6621197388</v>
      </c>
      <c r="S28" s="39"/>
      <c r="T28" s="39">
        <f t="shared" si="4"/>
        <v>2697124.8101668437</v>
      </c>
      <c r="U28" s="39"/>
      <c r="V28" s="39">
        <f t="shared" si="5"/>
        <v>2581749.9059451208</v>
      </c>
      <c r="W28" s="39"/>
      <c r="X28" s="39">
        <f t="shared" si="6"/>
        <v>2638491.6621197388</v>
      </c>
      <c r="Y28" s="39"/>
      <c r="Z28" s="39">
        <f t="shared" si="21"/>
        <v>2682781.7551338156</v>
      </c>
    </row>
    <row r="29" spans="1:26" s="59" customFormat="1">
      <c r="A29" s="72"/>
      <c r="B29" s="56" t="s">
        <v>24</v>
      </c>
      <c r="C29" s="57">
        <v>2.2745935450066211E-3</v>
      </c>
      <c r="D29" s="57">
        <f>SUM(D26:D28)</f>
        <v>0.12478101542580167</v>
      </c>
      <c r="E29" s="58">
        <f>+C29*$E$71</f>
        <v>1355.2096578955798</v>
      </c>
      <c r="F29" s="58">
        <f>$D29*$F$71</f>
        <v>16330378.728299432</v>
      </c>
      <c r="G29" s="58">
        <f>+C29*$G$71</f>
        <v>1356.4333892227935</v>
      </c>
      <c r="H29" s="58">
        <f t="shared" si="47"/>
        <v>15643960.0720757</v>
      </c>
      <c r="I29" s="58">
        <f>+C29*$I$71</f>
        <v>1357.657120550007</v>
      </c>
      <c r="J29" s="58">
        <f t="shared" si="12"/>
        <v>16000472.087323682</v>
      </c>
      <c r="K29" s="58">
        <f t="shared" ref="K29" si="48">+C29*$K$71</f>
        <v>1358.8808518772205</v>
      </c>
      <c r="L29" s="58">
        <f t="shared" si="0"/>
        <v>15324695.580808848</v>
      </c>
      <c r="M29" s="58">
        <f>+C29*$M$71</f>
        <v>1360.1045832044342</v>
      </c>
      <c r="N29" s="58">
        <f t="shared" si="1"/>
        <v>15670565.446347937</v>
      </c>
      <c r="O29" s="58">
        <f>+C29*$O$71</f>
        <v>1361.3283145316477</v>
      </c>
      <c r="P29" s="58">
        <f t="shared" si="2"/>
        <v>15505612.125860065</v>
      </c>
      <c r="Q29" s="58">
        <f>+C29*$Q$71</f>
        <v>1362.5520458588612</v>
      </c>
      <c r="R29" s="58">
        <f t="shared" si="3"/>
        <v>14845798.843908574</v>
      </c>
      <c r="S29" s="58">
        <f>+C29*$S$71</f>
        <v>1363.7757771860747</v>
      </c>
      <c r="T29" s="58">
        <f t="shared" si="4"/>
        <v>15175705.48488432</v>
      </c>
      <c r="U29" s="58">
        <f>+C29*$U$71</f>
        <v>1364.9995085132884</v>
      </c>
      <c r="V29" s="58">
        <f t="shared" si="5"/>
        <v>14526534.352641722</v>
      </c>
      <c r="W29" s="58">
        <f>+C29*$W$71</f>
        <v>1366.2232398405019</v>
      </c>
      <c r="X29" s="58">
        <f t="shared" si="6"/>
        <v>14845798.843908574</v>
      </c>
      <c r="Y29" s="74">
        <f t="shared" ref="Y29" si="49">(W29+U29+S29+Q29+O29+M29)/6</f>
        <v>1363.163911522468</v>
      </c>
      <c r="Z29" s="62">
        <f t="shared" si="21"/>
        <v>15095002.516258532</v>
      </c>
    </row>
    <row r="30" spans="1:26">
      <c r="A30" s="72"/>
      <c r="B30" s="3"/>
      <c r="C30" s="45"/>
      <c r="D30" s="45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>
      <c r="A31" s="72"/>
      <c r="B31" s="3" t="s">
        <v>25</v>
      </c>
      <c r="C31" s="45"/>
      <c r="D31" s="45">
        <v>2.988370333716496E-3</v>
      </c>
      <c r="E31" s="39"/>
      <c r="F31" s="39">
        <f t="shared" ref="F31:F36" si="50">$D31*$F$71</f>
        <v>391094.90464936575</v>
      </c>
      <c r="G31" s="39"/>
      <c r="H31" s="39">
        <f t="shared" ref="H31:H36" si="51">+D31*$H$71</f>
        <v>374655.92038746667</v>
      </c>
      <c r="I31" s="39"/>
      <c r="J31" s="39">
        <f t="shared" si="12"/>
        <v>383193.99748473207</v>
      </c>
      <c r="K31" s="39"/>
      <c r="L31" s="39">
        <f t="shared" si="0"/>
        <v>367009.88119588571</v>
      </c>
      <c r="M31" s="39"/>
      <c r="N31" s="39">
        <f t="shared" si="1"/>
        <v>375293.09032009839</v>
      </c>
      <c r="O31" s="39"/>
      <c r="P31" s="39">
        <f t="shared" si="2"/>
        <v>371342.63673778158</v>
      </c>
      <c r="Q31" s="39"/>
      <c r="R31" s="39">
        <f t="shared" si="3"/>
        <v>355540.82240851433</v>
      </c>
      <c r="S31" s="39"/>
      <c r="T31" s="39">
        <f t="shared" si="4"/>
        <v>363441.72957314795</v>
      </c>
      <c r="U31" s="39"/>
      <c r="V31" s="39">
        <f t="shared" si="5"/>
        <v>347894.78321693337</v>
      </c>
      <c r="W31" s="39"/>
      <c r="X31" s="39">
        <f t="shared" si="6"/>
        <v>355540.82240851433</v>
      </c>
      <c r="Y31" s="39"/>
      <c r="Z31" s="39">
        <f t="shared" si="21"/>
        <v>361508.98077749833</v>
      </c>
    </row>
    <row r="32" spans="1:26">
      <c r="A32" s="72"/>
      <c r="B32" s="3" t="s">
        <v>26</v>
      </c>
      <c r="C32" s="45"/>
      <c r="D32" s="45">
        <v>8.8005754528591848E-4</v>
      </c>
      <c r="E32" s="39"/>
      <c r="F32" s="39">
        <f t="shared" si="50"/>
        <v>115175.15679909161</v>
      </c>
      <c r="G32" s="39"/>
      <c r="H32" s="39">
        <f t="shared" si="51"/>
        <v>110333.97230020506</v>
      </c>
      <c r="I32" s="39"/>
      <c r="J32" s="39">
        <f t="shared" si="12"/>
        <v>112848.38595466551</v>
      </c>
      <c r="K32" s="39"/>
      <c r="L32" s="39">
        <f t="shared" si="0"/>
        <v>108082.2585797927</v>
      </c>
      <c r="M32" s="39"/>
      <c r="N32" s="39">
        <f t="shared" si="1"/>
        <v>110521.61511023942</v>
      </c>
      <c r="O32" s="39"/>
      <c r="P32" s="39">
        <f t="shared" si="2"/>
        <v>109358.22968802637</v>
      </c>
      <c r="Q32" s="39"/>
      <c r="R32" s="39">
        <f t="shared" si="3"/>
        <v>104704.68799917419</v>
      </c>
      <c r="S32" s="39"/>
      <c r="T32" s="39">
        <f t="shared" si="4"/>
        <v>107031.45884360028</v>
      </c>
      <c r="U32" s="39"/>
      <c r="V32" s="39">
        <f t="shared" si="5"/>
        <v>102452.97427876185</v>
      </c>
      <c r="W32" s="39"/>
      <c r="X32" s="39">
        <f t="shared" si="6"/>
        <v>104704.68799917419</v>
      </c>
      <c r="Y32" s="39"/>
      <c r="Z32" s="39">
        <f t="shared" si="21"/>
        <v>106462.27565316269</v>
      </c>
    </row>
    <row r="33" spans="1:26">
      <c r="A33" s="72"/>
      <c r="B33" s="3" t="s">
        <v>27</v>
      </c>
      <c r="C33" s="45"/>
      <c r="D33" s="45">
        <v>5.9716444039037897E-4</v>
      </c>
      <c r="E33" s="39"/>
      <c r="F33" s="39">
        <f t="shared" si="50"/>
        <v>78152.284955932642</v>
      </c>
      <c r="G33" s="39"/>
      <c r="H33" s="39">
        <f t="shared" si="51"/>
        <v>74867.291551137809</v>
      </c>
      <c r="I33" s="39"/>
      <c r="J33" s="39">
        <f t="shared" si="12"/>
        <v>76573.450916418835</v>
      </c>
      <c r="K33" s="39"/>
      <c r="L33" s="39">
        <f t="shared" si="0"/>
        <v>73339.387641930909</v>
      </c>
      <c r="M33" s="39"/>
      <c r="N33" s="39">
        <f t="shared" si="1"/>
        <v>74994.616876905056</v>
      </c>
      <c r="O33" s="39"/>
      <c r="P33" s="39">
        <f t="shared" si="2"/>
        <v>74205.199857148153</v>
      </c>
      <c r="Q33" s="39"/>
      <c r="R33" s="39">
        <f t="shared" si="3"/>
        <v>71047.531778120581</v>
      </c>
      <c r="S33" s="39"/>
      <c r="T33" s="39">
        <f t="shared" si="4"/>
        <v>72626.365817634374</v>
      </c>
      <c r="U33" s="39"/>
      <c r="V33" s="39">
        <f t="shared" si="5"/>
        <v>69519.627868913682</v>
      </c>
      <c r="W33" s="39"/>
      <c r="X33" s="39">
        <f t="shared" si="6"/>
        <v>71047.531778120581</v>
      </c>
      <c r="Y33" s="39"/>
      <c r="Z33" s="39">
        <f t="shared" si="21"/>
        <v>72240.145662807059</v>
      </c>
    </row>
    <row r="34" spans="1:26" s="59" customFormat="1">
      <c r="A34" s="72"/>
      <c r="B34" s="56" t="s">
        <v>28</v>
      </c>
      <c r="C34" s="57">
        <v>1.0181597923952834E-5</v>
      </c>
      <c r="D34" s="57">
        <f>SUM(D31:D33)</f>
        <v>4.4655923193927935E-3</v>
      </c>
      <c r="E34" s="58">
        <f>+C34*$E$71</f>
        <v>6.06622658788487</v>
      </c>
      <c r="F34" s="58">
        <f t="shared" si="50"/>
        <v>584422.34640438994</v>
      </c>
      <c r="G34" s="58">
        <f>+C34*$G$71</f>
        <v>6.0717042875679565</v>
      </c>
      <c r="H34" s="58">
        <f t="shared" si="51"/>
        <v>559857.18423880951</v>
      </c>
      <c r="I34" s="58">
        <f>+C34*$I$71</f>
        <v>6.0771819872510431</v>
      </c>
      <c r="J34" s="58">
        <f t="shared" si="12"/>
        <v>572615.83435581636</v>
      </c>
      <c r="K34" s="58">
        <f t="shared" ref="K34" si="52">+C34*$K$71</f>
        <v>6.0826596869341296</v>
      </c>
      <c r="L34" s="58">
        <f t="shared" si="0"/>
        <v>548431.52741760935</v>
      </c>
      <c r="M34" s="58">
        <f>+C34*$M$71</f>
        <v>6.0881373866172162</v>
      </c>
      <c r="N34" s="58">
        <f t="shared" si="1"/>
        <v>560809.3223072429</v>
      </c>
      <c r="O34" s="58">
        <f>+C34*$O$71</f>
        <v>6.0936150863003036</v>
      </c>
      <c r="P34" s="58">
        <f t="shared" si="2"/>
        <v>554906.06628295616</v>
      </c>
      <c r="Q34" s="58">
        <f>+C34*$Q$71</f>
        <v>6.0990927859833901</v>
      </c>
      <c r="R34" s="58">
        <f t="shared" si="3"/>
        <v>531293.04218580911</v>
      </c>
      <c r="S34" s="58">
        <f>+C34*$S$71</f>
        <v>6.1045704856664766</v>
      </c>
      <c r="T34" s="58">
        <f t="shared" si="4"/>
        <v>543099.55423438258</v>
      </c>
      <c r="U34" s="58">
        <f>+C34*$U$71</f>
        <v>6.1100481853495632</v>
      </c>
      <c r="V34" s="58">
        <f t="shared" si="5"/>
        <v>519867.3853646089</v>
      </c>
      <c r="W34" s="58">
        <f>+C34*$W$71</f>
        <v>6.1155258850326497</v>
      </c>
      <c r="X34" s="58">
        <f t="shared" si="6"/>
        <v>531293.04218580911</v>
      </c>
      <c r="Y34" s="74">
        <f t="shared" ref="Y34" si="53">(W34+U34+S34+Q34+O34+M34)/6</f>
        <v>6.1018316358249329</v>
      </c>
      <c r="Z34" s="62">
        <f t="shared" si="21"/>
        <v>540211.40209346812</v>
      </c>
    </row>
    <row r="35" spans="1:26" s="52" customFormat="1">
      <c r="A35" s="72"/>
      <c r="B35" s="49" t="s">
        <v>29</v>
      </c>
      <c r="C35" s="50">
        <f>+C24+C29+C34</f>
        <v>0.15383452177521909</v>
      </c>
      <c r="D35" s="50">
        <f>+D24+D29+D34</f>
        <v>0.31617803223187191</v>
      </c>
      <c r="E35" s="51"/>
      <c r="F35" s="51">
        <f t="shared" si="50"/>
        <v>41378946.90386761</v>
      </c>
      <c r="G35" s="51"/>
      <c r="H35" s="51">
        <f t="shared" si="51"/>
        <v>39639655.88053789</v>
      </c>
      <c r="I35" s="51"/>
      <c r="J35" s="51">
        <f t="shared" si="12"/>
        <v>40543008.582577355</v>
      </c>
      <c r="K35" s="51"/>
      <c r="L35" s="51">
        <f t="shared" si="0"/>
        <v>38830683.311547317</v>
      </c>
      <c r="M35" s="51"/>
      <c r="N35" s="51">
        <f t="shared" si="1"/>
        <v>39707070.261287101</v>
      </c>
      <c r="O35" s="51"/>
      <c r="P35" s="51">
        <f t="shared" si="2"/>
        <v>39289101.100641973</v>
      </c>
      <c r="Q35" s="51"/>
      <c r="R35" s="51">
        <f t="shared" si="3"/>
        <v>37617224.458061464</v>
      </c>
      <c r="S35" s="51"/>
      <c r="T35" s="51">
        <f t="shared" si="4"/>
        <v>38453162.779351719</v>
      </c>
      <c r="U35" s="51"/>
      <c r="V35" s="51">
        <f t="shared" si="5"/>
        <v>36808251.889070898</v>
      </c>
      <c r="W35" s="51"/>
      <c r="X35" s="51">
        <f t="shared" si="6"/>
        <v>37617224.458061464</v>
      </c>
      <c r="Y35" s="51"/>
      <c r="Z35" s="53">
        <f>Z34+Z29+Z24</f>
        <v>38248672.491079107</v>
      </c>
    </row>
    <row r="36" spans="1:26">
      <c r="A36" s="66" t="s">
        <v>30</v>
      </c>
      <c r="B36" s="3" t="s">
        <v>31</v>
      </c>
      <c r="C36" s="45">
        <v>6.8330156117031929E-4</v>
      </c>
      <c r="D36" s="45">
        <v>6.8085081233872308E-4</v>
      </c>
      <c r="E36" s="39">
        <f>+C36*$E$71</f>
        <v>407.11312004995972</v>
      </c>
      <c r="F36" s="39">
        <f t="shared" si="50"/>
        <v>89104.513094566675</v>
      </c>
      <c r="G36" s="39">
        <f>+C36*$G$71</f>
        <v>407.48073628986936</v>
      </c>
      <c r="H36" s="39">
        <f t="shared" si="51"/>
        <v>85359.162104276969</v>
      </c>
      <c r="I36" s="39">
        <f>+C36*$I$71</f>
        <v>407.84835252977899</v>
      </c>
      <c r="J36" s="39">
        <f t="shared" si="12"/>
        <v>87304.421920939058</v>
      </c>
      <c r="K36" s="39">
        <f t="shared" ref="K36" si="54">+C36*$K$71</f>
        <v>408.21596876968863</v>
      </c>
      <c r="L36" s="39">
        <f t="shared" si="0"/>
        <v>83617.138387863146</v>
      </c>
      <c r="M36" s="39">
        <f>+C36*$M$71</f>
        <v>408.58358500959827</v>
      </c>
      <c r="N36" s="39">
        <f t="shared" si="1"/>
        <v>85504.330747311455</v>
      </c>
      <c r="O36" s="39">
        <f>+C36*$O$71</f>
        <v>408.9512012495079</v>
      </c>
      <c r="P36" s="39">
        <f t="shared" si="2"/>
        <v>84604.285160497646</v>
      </c>
      <c r="Q36" s="39">
        <f>+C36*$Q$71</f>
        <v>409.31881748941754</v>
      </c>
      <c r="R36" s="39">
        <f t="shared" si="3"/>
        <v>81004.10281324244</v>
      </c>
      <c r="S36" s="39">
        <f>+C36*$S$71</f>
        <v>409.68643372932718</v>
      </c>
      <c r="T36" s="39">
        <f t="shared" si="4"/>
        <v>82804.193986870043</v>
      </c>
      <c r="U36" s="39">
        <f>+C36*$U$71</f>
        <v>410.05404996923681</v>
      </c>
      <c r="V36" s="39">
        <f t="shared" si="5"/>
        <v>79262.079096828616</v>
      </c>
      <c r="W36" s="39">
        <f>+C36*$W$71</f>
        <v>410.42166620914645</v>
      </c>
      <c r="X36" s="39">
        <f t="shared" si="6"/>
        <v>81004.10281324244</v>
      </c>
      <c r="Y36" s="39">
        <f t="shared" ref="Y36:Y38" si="55">(W36+U36+S36+Q36+O36+M36)/6</f>
        <v>409.50262560937239</v>
      </c>
      <c r="Z36" s="39">
        <f t="shared" si="21"/>
        <v>82363.849102998778</v>
      </c>
    </row>
    <row r="37" spans="1:26">
      <c r="A37" s="66"/>
      <c r="B37" s="3"/>
      <c r="C37" s="45"/>
      <c r="D37" s="45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>
      <c r="A38" s="66"/>
      <c r="B38" s="3" t="s">
        <v>32</v>
      </c>
      <c r="C38" s="45">
        <v>7.1827596425898621E-5</v>
      </c>
      <c r="D38" s="45">
        <v>9.0268562046623996E-3</v>
      </c>
      <c r="E38" s="39">
        <f t="shared" ref="E38:E39" si="56">+C38*$E$71</f>
        <v>42.795097433339677</v>
      </c>
      <c r="F38" s="39">
        <f t="shared" ref="F38:F43" si="57">$D38*$F$71</f>
        <v>1181365.4508661369</v>
      </c>
      <c r="G38" s="39">
        <f>+C38*$G$71</f>
        <v>42.833740680216806</v>
      </c>
      <c r="H38" s="39">
        <f t="shared" ref="H38:H43" si="58">+D38*$H$71</f>
        <v>1131708.8385618906</v>
      </c>
      <c r="I38" s="39">
        <f t="shared" ref="I38:I39" si="59">+C38*$I$71</f>
        <v>42.872383927093942</v>
      </c>
      <c r="J38" s="39">
        <f t="shared" si="12"/>
        <v>1157499.4821617706</v>
      </c>
      <c r="K38" s="39">
        <f t="shared" ref="K38:K39" si="60">+C38*$K$71</f>
        <v>42.911027173971078</v>
      </c>
      <c r="L38" s="39">
        <f t="shared" si="0"/>
        <v>1108612.7398157297</v>
      </c>
      <c r="M38" s="39">
        <f t="shared" ref="M38:M39" si="61">+C38*$M$71</f>
        <v>42.949670420848207</v>
      </c>
      <c r="N38" s="39">
        <f t="shared" si="1"/>
        <v>1133633.5134574042</v>
      </c>
      <c r="O38" s="39">
        <f t="shared" ref="O38:O39" si="62">+C38*$O$71</f>
        <v>42.988313667725343</v>
      </c>
      <c r="P38" s="39">
        <f t="shared" si="2"/>
        <v>1121700.5291052209</v>
      </c>
      <c r="Q38" s="39">
        <f t="shared" ref="Q38:Q39" si="63">+C38*$Q$71</f>
        <v>43.026956914602479</v>
      </c>
      <c r="R38" s="39">
        <f t="shared" si="3"/>
        <v>1073968.5916964882</v>
      </c>
      <c r="S38" s="39">
        <f t="shared" ref="S38:S39" si="64">+C38*$S$71</f>
        <v>43.065600161479608</v>
      </c>
      <c r="T38" s="39">
        <f t="shared" si="4"/>
        <v>1097834.5604008546</v>
      </c>
      <c r="U38" s="39">
        <f t="shared" ref="U38:U39" si="65">+C38*$U$71</f>
        <v>43.104243408356744</v>
      </c>
      <c r="V38" s="39">
        <f t="shared" si="5"/>
        <v>1050872.4929503272</v>
      </c>
      <c r="W38" s="39">
        <f t="shared" ref="W38:W39" si="66">+C38*$W$71</f>
        <v>43.14288665523388</v>
      </c>
      <c r="X38" s="39">
        <f t="shared" si="6"/>
        <v>1073968.5916964882</v>
      </c>
      <c r="Y38" s="39">
        <f t="shared" si="55"/>
        <v>43.046278538041044</v>
      </c>
      <c r="Z38" s="39">
        <f t="shared" si="21"/>
        <v>1091996.379884464</v>
      </c>
    </row>
    <row r="39" spans="1:26">
      <c r="A39" s="66"/>
      <c r="B39" s="3" t="s">
        <v>33</v>
      </c>
      <c r="C39" s="45">
        <v>0</v>
      </c>
      <c r="D39" s="45">
        <v>0</v>
      </c>
      <c r="E39" s="39">
        <f t="shared" si="56"/>
        <v>0</v>
      </c>
      <c r="F39" s="39">
        <f t="shared" si="57"/>
        <v>0</v>
      </c>
      <c r="G39" s="39">
        <f>+C39*$G$71</f>
        <v>0</v>
      </c>
      <c r="H39" s="39">
        <f t="shared" si="58"/>
        <v>0</v>
      </c>
      <c r="I39" s="39">
        <f t="shared" si="59"/>
        <v>0</v>
      </c>
      <c r="J39" s="39">
        <f t="shared" si="12"/>
        <v>0</v>
      </c>
      <c r="K39" s="39">
        <f t="shared" si="60"/>
        <v>0</v>
      </c>
      <c r="L39" s="39">
        <f t="shared" si="0"/>
        <v>0</v>
      </c>
      <c r="M39" s="39">
        <f t="shared" si="61"/>
        <v>0</v>
      </c>
      <c r="N39" s="39">
        <f t="shared" si="1"/>
        <v>0</v>
      </c>
      <c r="O39" s="39">
        <f t="shared" si="62"/>
        <v>0</v>
      </c>
      <c r="P39" s="39">
        <f t="shared" si="2"/>
        <v>0</v>
      </c>
      <c r="Q39" s="39">
        <f t="shared" si="63"/>
        <v>0</v>
      </c>
      <c r="R39" s="39">
        <f t="shared" si="3"/>
        <v>0</v>
      </c>
      <c r="S39" s="39">
        <f t="shared" si="64"/>
        <v>0</v>
      </c>
      <c r="T39" s="39">
        <f t="shared" si="4"/>
        <v>0</v>
      </c>
      <c r="U39" s="39">
        <f t="shared" si="65"/>
        <v>0</v>
      </c>
      <c r="V39" s="39">
        <f t="shared" si="5"/>
        <v>0</v>
      </c>
      <c r="W39" s="39">
        <f t="shared" si="66"/>
        <v>0</v>
      </c>
      <c r="X39" s="39">
        <f t="shared" si="6"/>
        <v>0</v>
      </c>
      <c r="Y39" s="39">
        <f t="shared" ref="Y38:Y39" si="67">+E39*$W$71</f>
        <v>0</v>
      </c>
      <c r="Z39" s="39">
        <f t="shared" si="21"/>
        <v>0</v>
      </c>
    </row>
    <row r="40" spans="1:26" s="54" customFormat="1">
      <c r="A40" s="66"/>
      <c r="B40" s="49" t="s">
        <v>34</v>
      </c>
      <c r="C40" s="50">
        <f>+C36+C38+C39</f>
        <v>7.5512915759621787E-4</v>
      </c>
      <c r="D40" s="50">
        <f>+D36+D38+D39</f>
        <v>9.7077070170011222E-3</v>
      </c>
      <c r="E40" s="53"/>
      <c r="F40" s="53">
        <f t="shared" si="57"/>
        <v>1270469.9639607037</v>
      </c>
      <c r="G40" s="53"/>
      <c r="H40" s="53">
        <f t="shared" si="58"/>
        <v>1217068.0006661676</v>
      </c>
      <c r="I40" s="53"/>
      <c r="J40" s="53">
        <f t="shared" si="12"/>
        <v>1244803.9040827095</v>
      </c>
      <c r="K40" s="53"/>
      <c r="L40" s="53">
        <f t="shared" si="0"/>
        <v>1192229.8782035927</v>
      </c>
      <c r="M40" s="53"/>
      <c r="N40" s="53">
        <f t="shared" si="1"/>
        <v>1219137.8442047155</v>
      </c>
      <c r="O40" s="53"/>
      <c r="P40" s="53">
        <f t="shared" si="2"/>
        <v>1206304.8142657185</v>
      </c>
      <c r="Q40" s="53"/>
      <c r="R40" s="53">
        <f t="shared" si="3"/>
        <v>1154972.6945097307</v>
      </c>
      <c r="S40" s="53"/>
      <c r="T40" s="53">
        <f t="shared" si="4"/>
        <v>1180638.7543877244</v>
      </c>
      <c r="U40" s="53"/>
      <c r="V40" s="53">
        <f t="shared" si="5"/>
        <v>1130134.5720471558</v>
      </c>
      <c r="W40" s="53"/>
      <c r="X40" s="53">
        <f t="shared" si="6"/>
        <v>1154972.6945097307</v>
      </c>
      <c r="Y40" s="53"/>
      <c r="Z40" s="53">
        <f>SUM(Z36:Z39)</f>
        <v>1174360.2289874628</v>
      </c>
    </row>
    <row r="41" spans="1:26">
      <c r="A41" s="66" t="s">
        <v>35</v>
      </c>
      <c r="B41" s="3" t="s">
        <v>36</v>
      </c>
      <c r="C41" s="45">
        <v>1.903499551940642E-3</v>
      </c>
      <c r="D41" s="45">
        <v>9.1303720740420872E-4</v>
      </c>
      <c r="E41" s="39">
        <f t="shared" ref="E41:E42" si="68">+C41*$E$71</f>
        <v>1134.1107435448903</v>
      </c>
      <c r="F41" s="39">
        <f t="shared" si="57"/>
        <v>119491.28109801013</v>
      </c>
      <c r="G41" s="39">
        <f t="shared" ref="G41:G42" si="69">+C41*$G$71</f>
        <v>1135.1348263038344</v>
      </c>
      <c r="H41" s="39">
        <f t="shared" si="58"/>
        <v>114468.67592966757</v>
      </c>
      <c r="I41" s="39">
        <f t="shared" ref="I41:I42" si="70">+C41*$I$71</f>
        <v>1136.1589090627785</v>
      </c>
      <c r="J41" s="39">
        <f t="shared" si="12"/>
        <v>117077.31582330285</v>
      </c>
      <c r="K41" s="39">
        <f t="shared" ref="K41:K42" si="71">+C41*$K$71</f>
        <v>1137.1829918217225</v>
      </c>
      <c r="L41" s="39">
        <f t="shared" si="0"/>
        <v>112132.58050253149</v>
      </c>
      <c r="M41" s="39">
        <f t="shared" ref="M41:M42" si="72">+C41*$M$71</f>
        <v>1138.2070745806666</v>
      </c>
      <c r="N41" s="39">
        <f t="shared" si="1"/>
        <v>114663.35054859558</v>
      </c>
      <c r="O41" s="39">
        <f t="shared" ref="O41:O42" si="73">+C41*$O$71</f>
        <v>1139.2311573396107</v>
      </c>
      <c r="P41" s="39">
        <f t="shared" si="2"/>
        <v>113456.36791124193</v>
      </c>
      <c r="Q41" s="39">
        <f t="shared" ref="Q41:Q42" si="74">+C41*$Q$71</f>
        <v>1140.2552400985546</v>
      </c>
      <c r="R41" s="39">
        <f t="shared" si="3"/>
        <v>108628.4373618274</v>
      </c>
      <c r="S41" s="39">
        <f t="shared" ref="S41:S42" si="75">+C41*$S$71</f>
        <v>1141.2793228574988</v>
      </c>
      <c r="T41" s="39">
        <f t="shared" si="4"/>
        <v>111042.40263653467</v>
      </c>
      <c r="U41" s="39">
        <f t="shared" ref="U41:U42" si="76">+C41*$U$71</f>
        <v>1142.3034056164429</v>
      </c>
      <c r="V41" s="39">
        <f t="shared" si="5"/>
        <v>106292.34193469133</v>
      </c>
      <c r="W41" s="39">
        <f t="shared" ref="W41:W42" si="77">+C41*$W$71</f>
        <v>1143.3274883753868</v>
      </c>
      <c r="X41" s="39">
        <f t="shared" si="6"/>
        <v>108628.4373618274</v>
      </c>
      <c r="Y41" s="39">
        <f t="shared" ref="Y41:Y42" si="78">(W41+U41+S41+Q41+O41+M41)/6</f>
        <v>1140.7672814780269</v>
      </c>
      <c r="Z41" s="39">
        <f t="shared" si="21"/>
        <v>110451.88962578638</v>
      </c>
    </row>
    <row r="42" spans="1:26">
      <c r="A42" s="66"/>
      <c r="B42" s="3" t="s">
        <v>37</v>
      </c>
      <c r="C42" s="45">
        <v>2.0163040454288274E-3</v>
      </c>
      <c r="D42" s="45">
        <v>1.5614450955463478E-2</v>
      </c>
      <c r="E42" s="39">
        <f t="shared" si="68"/>
        <v>1201.3199991786316</v>
      </c>
      <c r="F42" s="39">
        <f t="shared" si="57"/>
        <v>2043499.1402101526</v>
      </c>
      <c r="G42" s="39">
        <f t="shared" si="69"/>
        <v>1202.4047707550724</v>
      </c>
      <c r="H42" s="39">
        <f t="shared" si="58"/>
        <v>1957604.2594388558</v>
      </c>
      <c r="I42" s="39">
        <f t="shared" si="70"/>
        <v>1203.4895423315131</v>
      </c>
      <c r="J42" s="39">
        <f t="shared" si="12"/>
        <v>2002216.3292968159</v>
      </c>
      <c r="K42" s="39">
        <f t="shared" si="71"/>
        <v>1204.5743139079539</v>
      </c>
      <c r="L42" s="39">
        <f t="shared" si="0"/>
        <v>1917653.1521033689</v>
      </c>
      <c r="M42" s="39">
        <f t="shared" si="72"/>
        <v>1205.6590854843944</v>
      </c>
      <c r="N42" s="39">
        <f t="shared" si="1"/>
        <v>1960933.5183834797</v>
      </c>
      <c r="O42" s="39">
        <f t="shared" si="73"/>
        <v>1206.7438570608351</v>
      </c>
      <c r="P42" s="39">
        <f t="shared" si="2"/>
        <v>1940292.1129268114</v>
      </c>
      <c r="Q42" s="39">
        <f t="shared" si="74"/>
        <v>1207.8286286372759</v>
      </c>
      <c r="R42" s="39">
        <f t="shared" si="3"/>
        <v>1857726.4911001388</v>
      </c>
      <c r="S42" s="39">
        <f t="shared" si="75"/>
        <v>1208.9134002137166</v>
      </c>
      <c r="T42" s="39">
        <f t="shared" si="4"/>
        <v>1899009.3020134752</v>
      </c>
      <c r="U42" s="39">
        <f t="shared" si="76"/>
        <v>1209.9981717901574</v>
      </c>
      <c r="V42" s="39">
        <f t="shared" si="5"/>
        <v>1817775.3837646518</v>
      </c>
      <c r="W42" s="39">
        <f t="shared" si="77"/>
        <v>1211.0829433665981</v>
      </c>
      <c r="X42" s="39">
        <f t="shared" si="6"/>
        <v>1857726.4911001388</v>
      </c>
      <c r="Y42" s="39">
        <f t="shared" si="78"/>
        <v>1208.3710144254962</v>
      </c>
      <c r="Z42" s="39">
        <f t="shared" si="21"/>
        <v>1888910.5498814497</v>
      </c>
    </row>
    <row r="43" spans="1:26" s="59" customFormat="1">
      <c r="A43" s="66"/>
      <c r="B43" s="56" t="s">
        <v>38</v>
      </c>
      <c r="C43" s="57">
        <f>SUM(C41:C42)</f>
        <v>3.9198035973694693E-3</v>
      </c>
      <c r="D43" s="57">
        <f>SUM(D41:D42)</f>
        <v>1.6527488162867688E-2</v>
      </c>
      <c r="E43" s="58"/>
      <c r="F43" s="58">
        <f t="shared" si="57"/>
        <v>2162990.4213081631</v>
      </c>
      <c r="G43" s="58"/>
      <c r="H43" s="58">
        <f t="shared" si="58"/>
        <v>2072072.9353685237</v>
      </c>
      <c r="I43" s="58"/>
      <c r="J43" s="58">
        <f t="shared" si="12"/>
        <v>2119293.6451201192</v>
      </c>
      <c r="K43" s="58"/>
      <c r="L43" s="58">
        <f t="shared" si="0"/>
        <v>2029785.7326059004</v>
      </c>
      <c r="M43" s="58"/>
      <c r="N43" s="58">
        <f t="shared" si="1"/>
        <v>2075596.8689320753</v>
      </c>
      <c r="O43" s="58"/>
      <c r="P43" s="58">
        <f t="shared" si="2"/>
        <v>2053748.4808380536</v>
      </c>
      <c r="Q43" s="58"/>
      <c r="R43" s="58">
        <f t="shared" si="3"/>
        <v>1966354.9284619663</v>
      </c>
      <c r="S43" s="58"/>
      <c r="T43" s="58">
        <f t="shared" si="4"/>
        <v>2010051.70465001</v>
      </c>
      <c r="U43" s="58"/>
      <c r="V43" s="58">
        <f t="shared" si="5"/>
        <v>1924067.7256993435</v>
      </c>
      <c r="W43" s="58"/>
      <c r="X43" s="58">
        <f t="shared" si="6"/>
        <v>1966354.9284619663</v>
      </c>
      <c r="Y43" s="58"/>
      <c r="Z43" s="62">
        <f t="shared" si="21"/>
        <v>1999362.4395072358</v>
      </c>
    </row>
    <row r="44" spans="1:26">
      <c r="A44" s="66"/>
      <c r="B44" s="3"/>
      <c r="C44" s="45"/>
      <c r="D44" s="45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>
      <c r="A45" s="66"/>
      <c r="B45" s="3" t="s">
        <v>39</v>
      </c>
      <c r="C45" s="45"/>
      <c r="D45" s="45">
        <v>8.8497425117339878E-2</v>
      </c>
      <c r="E45" s="39"/>
      <c r="F45" s="39">
        <f>$D45*$F$71</f>
        <v>11581861.741659202</v>
      </c>
      <c r="G45" s="39"/>
      <c r="H45" s="39">
        <f t="shared" ref="H45:H48" si="79">+D45*$H$71</f>
        <v>11095038.618598256</v>
      </c>
      <c r="I45" s="39"/>
      <c r="J45" s="39">
        <f t="shared" si="12"/>
        <v>11347884.736777196</v>
      </c>
      <c r="K45" s="39"/>
      <c r="L45" s="39">
        <f t="shared" si="0"/>
        <v>10868609.259035027</v>
      </c>
      <c r="M45" s="39"/>
      <c r="N45" s="39">
        <f t="shared" si="1"/>
        <v>11113907.731895192</v>
      </c>
      <c r="O45" s="39"/>
      <c r="P45" s="39">
        <f t="shared" si="2"/>
        <v>10996919.22945419</v>
      </c>
      <c r="Q45" s="39"/>
      <c r="R45" s="39">
        <f t="shared" si="3"/>
        <v>10528965.219690183</v>
      </c>
      <c r="S45" s="39"/>
      <c r="T45" s="39">
        <f t="shared" si="4"/>
        <v>10762942.224572187</v>
      </c>
      <c r="U45" s="39"/>
      <c r="V45" s="39">
        <f t="shared" si="5"/>
        <v>10302535.860126954</v>
      </c>
      <c r="W45" s="39"/>
      <c r="X45" s="39">
        <f t="shared" si="6"/>
        <v>10528965.219690183</v>
      </c>
      <c r="Y45" s="39"/>
      <c r="Z45" s="39">
        <f t="shared" si="21"/>
        <v>10705705.914238149</v>
      </c>
    </row>
    <row r="46" spans="1:26">
      <c r="A46" s="66"/>
      <c r="B46" s="3" t="s">
        <v>40</v>
      </c>
      <c r="C46" s="45"/>
      <c r="D46" s="45">
        <v>1.8511263260483236E-2</v>
      </c>
      <c r="E46" s="39"/>
      <c r="F46" s="39">
        <f>$D46*$F$71</f>
        <v>2422611.6348820701</v>
      </c>
      <c r="G46" s="39"/>
      <c r="H46" s="39">
        <f t="shared" si="79"/>
        <v>2320781.429310292</v>
      </c>
      <c r="I46" s="39"/>
      <c r="J46" s="39">
        <f t="shared" si="12"/>
        <v>2373669.9856925332</v>
      </c>
      <c r="K46" s="39"/>
      <c r="L46" s="39">
        <f t="shared" si="0"/>
        <v>2273418.5429978371</v>
      </c>
      <c r="M46" s="39"/>
      <c r="N46" s="39">
        <f t="shared" si="1"/>
        <v>2324728.3365029967</v>
      </c>
      <c r="O46" s="39"/>
      <c r="P46" s="39">
        <f t="shared" si="2"/>
        <v>2300257.511908228</v>
      </c>
      <c r="Q46" s="39"/>
      <c r="R46" s="39">
        <f t="shared" si="3"/>
        <v>2202374.2135291547</v>
      </c>
      <c r="S46" s="39"/>
      <c r="T46" s="39">
        <f t="shared" si="4"/>
        <v>2251315.8627186916</v>
      </c>
      <c r="U46" s="39"/>
      <c r="V46" s="39">
        <f t="shared" si="5"/>
        <v>2155011.3272166997</v>
      </c>
      <c r="W46" s="39"/>
      <c r="X46" s="39">
        <f t="shared" si="6"/>
        <v>2202374.2135291547</v>
      </c>
      <c r="Y46" s="39"/>
      <c r="Z46" s="39">
        <f t="shared" si="21"/>
        <v>2239343.5775674875</v>
      </c>
    </row>
    <row r="47" spans="1:26">
      <c r="A47" s="66"/>
      <c r="B47" s="3" t="s">
        <v>41</v>
      </c>
      <c r="C47" s="45"/>
      <c r="D47" s="45">
        <v>2.6626220605934496E-2</v>
      </c>
      <c r="E47" s="39"/>
      <c r="F47" s="39">
        <f>$D47*$F$71</f>
        <v>3484634.7828986435</v>
      </c>
      <c r="G47" s="39"/>
      <c r="H47" s="39">
        <f t="shared" si="79"/>
        <v>3338164.3081531483</v>
      </c>
      <c r="I47" s="39"/>
      <c r="J47" s="39">
        <f t="shared" si="12"/>
        <v>3414238.1206178623</v>
      </c>
      <c r="K47" s="39"/>
      <c r="L47" s="39">
        <f t="shared" si="0"/>
        <v>3270038.5059459405</v>
      </c>
      <c r="M47" s="39"/>
      <c r="N47" s="39">
        <f t="shared" si="1"/>
        <v>3343841.4583370821</v>
      </c>
      <c r="O47" s="39"/>
      <c r="P47" s="39">
        <f t="shared" si="2"/>
        <v>3308643.1271966915</v>
      </c>
      <c r="Q47" s="39"/>
      <c r="R47" s="39">
        <f t="shared" si="3"/>
        <v>3167849.8026351305</v>
      </c>
      <c r="S47" s="39"/>
      <c r="T47" s="39">
        <f t="shared" si="4"/>
        <v>3238246.4649159112</v>
      </c>
      <c r="U47" s="39"/>
      <c r="V47" s="39">
        <f t="shared" si="5"/>
        <v>3099724.0004279236</v>
      </c>
      <c r="W47" s="39"/>
      <c r="X47" s="39">
        <f t="shared" si="6"/>
        <v>3167849.8026351305</v>
      </c>
      <c r="Y47" s="39"/>
      <c r="Z47" s="39">
        <f t="shared" si="21"/>
        <v>3221025.7760246452</v>
      </c>
    </row>
    <row r="48" spans="1:26" s="59" customFormat="1">
      <c r="A48" s="66"/>
      <c r="B48" s="56" t="s">
        <v>42</v>
      </c>
      <c r="C48" s="57">
        <v>9.2290592969486603E-4</v>
      </c>
      <c r="D48" s="57">
        <f>SUM(D45:D47)</f>
        <v>0.1336349089837576</v>
      </c>
      <c r="E48" s="58">
        <f>+C48*$E$71</f>
        <v>549.87012162999031</v>
      </c>
      <c r="F48" s="58">
        <f>$D48*$F$71</f>
        <v>17489108.159439914</v>
      </c>
      <c r="G48" s="58">
        <f>+C48*$G$71</f>
        <v>550.36664502016606</v>
      </c>
      <c r="H48" s="58">
        <f t="shared" si="79"/>
        <v>16753984.356061695</v>
      </c>
      <c r="I48" s="58">
        <f>+C48*$I$71</f>
        <v>550.86316841034193</v>
      </c>
      <c r="J48" s="58">
        <f t="shared" si="12"/>
        <v>17135792.843087591</v>
      </c>
      <c r="K48" s="58">
        <f t="shared" ref="K48" si="80">+C48*$K$71</f>
        <v>551.35969180051779</v>
      </c>
      <c r="L48" s="58">
        <f t="shared" si="0"/>
        <v>16412066.307978801</v>
      </c>
      <c r="M48" s="58">
        <f>+C48*$M$71</f>
        <v>551.85621519069366</v>
      </c>
      <c r="N48" s="58">
        <f t="shared" si="1"/>
        <v>16782477.526735269</v>
      </c>
      <c r="O48" s="58">
        <f>+C48*$O$71</f>
        <v>552.35273858086941</v>
      </c>
      <c r="P48" s="58">
        <f t="shared" si="2"/>
        <v>16605819.868559109</v>
      </c>
      <c r="Q48" s="58">
        <f>+C48*$Q$71</f>
        <v>552.84926197104528</v>
      </c>
      <c r="R48" s="58">
        <f t="shared" si="3"/>
        <v>15899189.235854467</v>
      </c>
      <c r="S48" s="58">
        <f>+C48*$S$71</f>
        <v>553.34578536122115</v>
      </c>
      <c r="T48" s="58">
        <f t="shared" si="4"/>
        <v>16252504.552206788</v>
      </c>
      <c r="U48" s="58">
        <f>+C48*$U$71</f>
        <v>553.84230875139701</v>
      </c>
      <c r="V48" s="58">
        <f t="shared" si="5"/>
        <v>15557271.187771576</v>
      </c>
      <c r="W48" s="58">
        <f>+C48*$W$71</f>
        <v>554.33883214157277</v>
      </c>
      <c r="X48" s="58">
        <f t="shared" si="6"/>
        <v>15899189.235854467</v>
      </c>
      <c r="Y48" s="74">
        <f t="shared" ref="Y48" si="81">(W48+U48+S48+Q48+O48+M48)/6</f>
        <v>553.09752366613327</v>
      </c>
      <c r="Z48" s="62">
        <f t="shared" si="21"/>
        <v>16166075.267830282</v>
      </c>
    </row>
    <row r="49" spans="1:26">
      <c r="A49" s="66"/>
      <c r="B49" s="3"/>
      <c r="C49" s="45"/>
      <c r="D49" s="45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>
      <c r="A50" s="66"/>
      <c r="B50" s="3" t="s">
        <v>43</v>
      </c>
      <c r="C50" s="45"/>
      <c r="D50" s="45">
        <v>2.3025071803750966E-2</v>
      </c>
      <c r="E50" s="39"/>
      <c r="F50" s="39">
        <f t="shared" ref="F50:F55" si="82">$D50*$F$71</f>
        <v>3013344.1494962582</v>
      </c>
      <c r="G50" s="39"/>
      <c r="H50" s="39">
        <f t="shared" ref="H50:H55" si="83">+D50*$H$71</f>
        <v>2886683.5449719774</v>
      </c>
      <c r="I50" s="39"/>
      <c r="J50" s="39">
        <f t="shared" si="12"/>
        <v>2952468.5101124952</v>
      </c>
      <c r="K50" s="39"/>
      <c r="L50" s="39">
        <f t="shared" si="0"/>
        <v>2827771.6358909165</v>
      </c>
      <c r="M50" s="39"/>
      <c r="N50" s="39">
        <f t="shared" si="1"/>
        <v>2891592.8707287326</v>
      </c>
      <c r="O50" s="39"/>
      <c r="P50" s="39">
        <f t="shared" si="2"/>
        <v>2861155.051036851</v>
      </c>
      <c r="Q50" s="39"/>
      <c r="R50" s="39">
        <f t="shared" si="3"/>
        <v>2739403.7722693258</v>
      </c>
      <c r="S50" s="39"/>
      <c r="T50" s="39">
        <f t="shared" si="4"/>
        <v>2800279.4116530884</v>
      </c>
      <c r="U50" s="39"/>
      <c r="V50" s="39">
        <f t="shared" si="5"/>
        <v>2680491.8631882649</v>
      </c>
      <c r="W50" s="39"/>
      <c r="X50" s="39">
        <f t="shared" si="6"/>
        <v>2739403.7722693258</v>
      </c>
      <c r="Y50" s="39"/>
      <c r="Z50" s="39">
        <f t="shared" si="21"/>
        <v>2785387.7901909314</v>
      </c>
    </row>
    <row r="51" spans="1:26">
      <c r="A51" s="66"/>
      <c r="B51" s="3" t="s">
        <v>44</v>
      </c>
      <c r="C51" s="45"/>
      <c r="D51" s="45">
        <v>9.4214461082130288E-3</v>
      </c>
      <c r="E51" s="39"/>
      <c r="F51" s="39">
        <f t="shared" si="82"/>
        <v>1233006.3398696135</v>
      </c>
      <c r="G51" s="39"/>
      <c r="H51" s="39">
        <f t="shared" si="83"/>
        <v>1181179.0939122397</v>
      </c>
      <c r="I51" s="39"/>
      <c r="J51" s="39">
        <f t="shared" si="12"/>
        <v>1208097.1208823486</v>
      </c>
      <c r="K51" s="39"/>
      <c r="L51" s="39">
        <f t="shared" si="0"/>
        <v>1157073.3981181122</v>
      </c>
      <c r="M51" s="39"/>
      <c r="N51" s="39">
        <f t="shared" si="1"/>
        <v>1183187.9018950837</v>
      </c>
      <c r="O51" s="39"/>
      <c r="P51" s="39">
        <f t="shared" si="2"/>
        <v>1170733.2924014512</v>
      </c>
      <c r="Q51" s="39"/>
      <c r="R51" s="39">
        <f t="shared" si="3"/>
        <v>1120914.8544269213</v>
      </c>
      <c r="S51" s="39"/>
      <c r="T51" s="39">
        <f t="shared" si="4"/>
        <v>1145824.0734141862</v>
      </c>
      <c r="U51" s="39"/>
      <c r="V51" s="39">
        <f t="shared" si="5"/>
        <v>1096809.1586327942</v>
      </c>
      <c r="W51" s="39"/>
      <c r="X51" s="39">
        <f t="shared" si="6"/>
        <v>1120914.8544269213</v>
      </c>
      <c r="Y51" s="39"/>
      <c r="Z51" s="39">
        <f t="shared" si="21"/>
        <v>1139730.6891995596</v>
      </c>
    </row>
    <row r="52" spans="1:26">
      <c r="A52" s="66"/>
      <c r="B52" s="3" t="s">
        <v>45</v>
      </c>
      <c r="C52" s="45"/>
      <c r="D52" s="45">
        <v>5.8158632487462633E-3</v>
      </c>
      <c r="E52" s="39"/>
      <c r="F52" s="39">
        <f t="shared" si="82"/>
        <v>761135.41118359764</v>
      </c>
      <c r="G52" s="39"/>
      <c r="H52" s="39">
        <f t="shared" si="83"/>
        <v>729142.42713580222</v>
      </c>
      <c r="I52" s="39"/>
      <c r="J52" s="39">
        <f t="shared" si="12"/>
        <v>745758.93823039369</v>
      </c>
      <c r="K52" s="39"/>
      <c r="L52" s="39">
        <f t="shared" si="0"/>
        <v>714261.96943915321</v>
      </c>
      <c r="M52" s="39"/>
      <c r="N52" s="39">
        <f t="shared" si="1"/>
        <v>730382.46527718962</v>
      </c>
      <c r="O52" s="39"/>
      <c r="P52" s="39">
        <f t="shared" si="2"/>
        <v>722694.22880058771</v>
      </c>
      <c r="Q52" s="39"/>
      <c r="R52" s="39">
        <f t="shared" si="3"/>
        <v>691941.28289417969</v>
      </c>
      <c r="S52" s="39"/>
      <c r="T52" s="39">
        <f t="shared" si="4"/>
        <v>707317.75584738376</v>
      </c>
      <c r="U52" s="39"/>
      <c r="V52" s="39">
        <f t="shared" si="5"/>
        <v>677060.82519753068</v>
      </c>
      <c r="W52" s="39"/>
      <c r="X52" s="39">
        <f t="shared" si="6"/>
        <v>691941.28289417969</v>
      </c>
      <c r="Y52" s="39"/>
      <c r="Z52" s="39">
        <f t="shared" si="21"/>
        <v>703556.30681850854</v>
      </c>
    </row>
    <row r="53" spans="1:26" s="59" customFormat="1">
      <c r="A53" s="66"/>
      <c r="B53" s="56" t="s">
        <v>46</v>
      </c>
      <c r="C53" s="57">
        <v>3.029027389630507E-5</v>
      </c>
      <c r="D53" s="57">
        <f>SUM(D50:D52)</f>
        <v>3.8262381160710263E-2</v>
      </c>
      <c r="E53" s="58">
        <f>+C53*$E$71</f>
        <v>18.047036058240248</v>
      </c>
      <c r="F53" s="62">
        <f t="shared" si="82"/>
        <v>5007485.9005494695</v>
      </c>
      <c r="G53" s="58">
        <f>+C53*$G$71</f>
        <v>18.063332225596461</v>
      </c>
      <c r="H53" s="58">
        <f t="shared" si="83"/>
        <v>4797005.0660200203</v>
      </c>
      <c r="I53" s="58">
        <f>+C53*$I$71</f>
        <v>18.079628392952674</v>
      </c>
      <c r="J53" s="58">
        <f t="shared" si="12"/>
        <v>4906324.5692252377</v>
      </c>
      <c r="K53" s="58">
        <f t="shared" ref="K53" si="84">+C53*$K$71</f>
        <v>18.095924560308887</v>
      </c>
      <c r="L53" s="58">
        <f t="shared" si="0"/>
        <v>4699107.0034481827</v>
      </c>
      <c r="M53" s="58">
        <f>+C53*$M$71</f>
        <v>18.112220727665097</v>
      </c>
      <c r="N53" s="58">
        <f t="shared" si="1"/>
        <v>4805163.2379010059</v>
      </c>
      <c r="O53" s="58">
        <f>+C53*$O$71</f>
        <v>18.12851689502131</v>
      </c>
      <c r="P53" s="58">
        <f t="shared" si="2"/>
        <v>4754582.5722388905</v>
      </c>
      <c r="Q53" s="58">
        <f>+C53*$Q$71</f>
        <v>18.144813062377523</v>
      </c>
      <c r="R53" s="58">
        <f t="shared" si="3"/>
        <v>4552259.9095904268</v>
      </c>
      <c r="S53" s="58">
        <f>+C53*$S$71</f>
        <v>18.161109229733736</v>
      </c>
      <c r="T53" s="58">
        <f t="shared" si="4"/>
        <v>4653421.2409146586</v>
      </c>
      <c r="U53" s="58">
        <f>+C53*$U$71</f>
        <v>18.177405397089945</v>
      </c>
      <c r="V53" s="58">
        <f t="shared" si="5"/>
        <v>4454361.8470185902</v>
      </c>
      <c r="W53" s="58">
        <f>+C53*$W$71</f>
        <v>18.193701564446158</v>
      </c>
      <c r="X53" s="58">
        <f t="shared" si="6"/>
        <v>4552259.9095904268</v>
      </c>
      <c r="Y53" s="74">
        <f t="shared" ref="Y53" si="85">(W53+U53+S53+Q53+O53+M53)/6</f>
        <v>18.152961146055627</v>
      </c>
      <c r="Z53" s="62">
        <f t="shared" si="21"/>
        <v>4628674.7862090003</v>
      </c>
    </row>
    <row r="54" spans="1:26" s="52" customFormat="1">
      <c r="A54" s="66"/>
      <c r="B54" s="49" t="s">
        <v>47</v>
      </c>
      <c r="C54" s="50">
        <f>+C43+C48+C53</f>
        <v>4.8729998009606409E-3</v>
      </c>
      <c r="D54" s="50">
        <f>+D43+D48+D53</f>
        <v>0.18842477830733556</v>
      </c>
      <c r="E54" s="51"/>
      <c r="F54" s="51">
        <f t="shared" si="82"/>
        <v>24659584.481297549</v>
      </c>
      <c r="G54" s="51"/>
      <c r="H54" s="51">
        <f t="shared" si="83"/>
        <v>23623062.357450239</v>
      </c>
      <c r="I54" s="51"/>
      <c r="J54" s="51">
        <f t="shared" si="12"/>
        <v>24161411.05743295</v>
      </c>
      <c r="K54" s="51"/>
      <c r="L54" s="51">
        <f t="shared" si="0"/>
        <v>23140959.044032887</v>
      </c>
      <c r="M54" s="51"/>
      <c r="N54" s="51">
        <f t="shared" si="1"/>
        <v>23663237.633568354</v>
      </c>
      <c r="O54" s="51"/>
      <c r="P54" s="51">
        <f t="shared" si="2"/>
        <v>23414150.921636052</v>
      </c>
      <c r="Q54" s="51"/>
      <c r="R54" s="51">
        <f t="shared" si="3"/>
        <v>22417804.073906861</v>
      </c>
      <c r="S54" s="51"/>
      <c r="T54" s="51">
        <f t="shared" si="4"/>
        <v>22915977.497771457</v>
      </c>
      <c r="U54" s="51"/>
      <c r="V54" s="51">
        <f t="shared" si="5"/>
        <v>21935700.760489509</v>
      </c>
      <c r="W54" s="51"/>
      <c r="X54" s="51">
        <f t="shared" si="6"/>
        <v>22417804.073906861</v>
      </c>
      <c r="Y54" s="51"/>
      <c r="Z54" s="53">
        <f>Z43+Z48+Z53</f>
        <v>22794112.493546516</v>
      </c>
    </row>
    <row r="55" spans="1:26" s="59" customFormat="1">
      <c r="A55" s="66" t="s">
        <v>48</v>
      </c>
      <c r="B55" s="56" t="s">
        <v>49</v>
      </c>
      <c r="C55" s="57">
        <v>2.7957041220096021E-6</v>
      </c>
      <c r="D55" s="57">
        <v>2.9050410533096587E-5</v>
      </c>
      <c r="E55" s="58">
        <f>+C55*$E$71</f>
        <v>1.6656889030056869</v>
      </c>
      <c r="F55" s="62">
        <f t="shared" si="82"/>
        <v>3801.894099027752</v>
      </c>
      <c r="G55" s="58">
        <f>+C55*$G$71</f>
        <v>1.6671929918233281</v>
      </c>
      <c r="H55" s="58">
        <f t="shared" si="83"/>
        <v>3642.0881887069372</v>
      </c>
      <c r="I55" s="58">
        <f>+C55*$I$71</f>
        <v>1.6686970806409693</v>
      </c>
      <c r="J55" s="58">
        <f t="shared" si="12"/>
        <v>3725.0881576332513</v>
      </c>
      <c r="K55" s="58">
        <f t="shared" ref="K55" si="86">+C55*$K$71</f>
        <v>1.6702011694586105</v>
      </c>
      <c r="L55" s="58">
        <f t="shared" si="0"/>
        <v>3567.7598583251624</v>
      </c>
      <c r="M55" s="58">
        <f>+C55*$M$71</f>
        <v>1.6717052582762517</v>
      </c>
      <c r="N55" s="58">
        <f t="shared" si="1"/>
        <v>3648.2822162387515</v>
      </c>
      <c r="O55" s="58">
        <f>+C55*$O$71</f>
        <v>1.6732093470938927</v>
      </c>
      <c r="P55" s="58">
        <f t="shared" si="2"/>
        <v>3609.8792455415014</v>
      </c>
      <c r="Q55" s="58">
        <f>+C55*$Q$71</f>
        <v>1.6747134359115339</v>
      </c>
      <c r="R55" s="58">
        <f t="shared" si="3"/>
        <v>3456.2673627525019</v>
      </c>
      <c r="S55" s="58">
        <f>+C55*$S$71</f>
        <v>1.6762175247291751</v>
      </c>
      <c r="T55" s="58">
        <f t="shared" si="4"/>
        <v>3533.0733041470016</v>
      </c>
      <c r="U55" s="58">
        <f>+C55*$U$71</f>
        <v>1.6777216135468163</v>
      </c>
      <c r="V55" s="58">
        <f t="shared" si="5"/>
        <v>3381.9390323707275</v>
      </c>
      <c r="W55" s="58">
        <f>+C55*$W$71</f>
        <v>1.6792257023644575</v>
      </c>
      <c r="X55" s="58">
        <f t="shared" si="6"/>
        <v>3456.2673627525019</v>
      </c>
      <c r="Y55" s="74">
        <f t="shared" ref="Y55" si="87">(W55+U55+S55+Q55+O55+M55)/6</f>
        <v>1.6754654803203544</v>
      </c>
      <c r="Z55" s="62">
        <f t="shared" si="21"/>
        <v>3514.2847539671643</v>
      </c>
    </row>
    <row r="56" spans="1:26">
      <c r="A56" s="66"/>
      <c r="B56" s="3"/>
      <c r="C56" s="45"/>
      <c r="D56" s="45"/>
      <c r="E56" s="39"/>
      <c r="F56" s="39"/>
      <c r="G56" s="39"/>
      <c r="H56" s="39"/>
      <c r="I56" s="39"/>
      <c r="J56" s="39">
        <f t="shared" si="12"/>
        <v>0</v>
      </c>
      <c r="K56" s="39"/>
      <c r="L56" s="39">
        <f t="shared" si="0"/>
        <v>0</v>
      </c>
      <c r="M56" s="39"/>
      <c r="N56" s="39">
        <f t="shared" si="1"/>
        <v>0</v>
      </c>
      <c r="O56" s="39"/>
      <c r="P56" s="39">
        <f t="shared" si="2"/>
        <v>0</v>
      </c>
      <c r="Q56" s="39"/>
      <c r="R56" s="39">
        <f t="shared" si="3"/>
        <v>0</v>
      </c>
      <c r="S56" s="39"/>
      <c r="T56" s="39">
        <f t="shared" si="4"/>
        <v>0</v>
      </c>
      <c r="U56" s="39"/>
      <c r="V56" s="39">
        <f t="shared" si="5"/>
        <v>0</v>
      </c>
      <c r="W56" s="39"/>
      <c r="X56" s="39">
        <f t="shared" si="6"/>
        <v>0</v>
      </c>
      <c r="Y56" s="39"/>
      <c r="Z56" s="39">
        <f t="shared" si="21"/>
        <v>0</v>
      </c>
    </row>
    <row r="57" spans="1:26">
      <c r="A57" s="66"/>
      <c r="B57" s="3" t="s">
        <v>50</v>
      </c>
      <c r="C57" s="45"/>
      <c r="D57" s="45">
        <v>1.7871221050520639E-2</v>
      </c>
      <c r="E57" s="39"/>
      <c r="F57" s="39">
        <f>$D57*$F$71</f>
        <v>2338847.8375197859</v>
      </c>
      <c r="G57" s="39"/>
      <c r="H57" s="39">
        <f t="shared" ref="H57:H60" si="88">+D57*$H$71</f>
        <v>2240538.4953757478</v>
      </c>
      <c r="I57" s="39"/>
      <c r="J57" s="39">
        <f t="shared" si="12"/>
        <v>2291598.3862567595</v>
      </c>
      <c r="K57" s="39"/>
      <c r="L57" s="39">
        <f t="shared" si="0"/>
        <v>2194813.2199599161</v>
      </c>
      <c r="M57" s="39"/>
      <c r="N57" s="39">
        <f t="shared" si="1"/>
        <v>2244348.9349937337</v>
      </c>
      <c r="O57" s="39"/>
      <c r="P57" s="39">
        <f t="shared" si="2"/>
        <v>2220724.2093622205</v>
      </c>
      <c r="Q57" s="39"/>
      <c r="R57" s="39">
        <f t="shared" si="3"/>
        <v>2126225.3068361687</v>
      </c>
      <c r="S57" s="39"/>
      <c r="T57" s="39">
        <f t="shared" si="4"/>
        <v>2173474.7580991946</v>
      </c>
      <c r="U57" s="39"/>
      <c r="V57" s="39">
        <f t="shared" si="5"/>
        <v>2080500.0314203373</v>
      </c>
      <c r="W57" s="39"/>
      <c r="X57" s="39">
        <f t="shared" si="6"/>
        <v>2126225.3068361687</v>
      </c>
      <c r="Y57" s="39"/>
      <c r="Z57" s="39">
        <f t="shared" si="21"/>
        <v>2161916.4245913043</v>
      </c>
    </row>
    <row r="58" spans="1:26">
      <c r="A58" s="66"/>
      <c r="B58" s="3" t="s">
        <v>51</v>
      </c>
      <c r="C58" s="45"/>
      <c r="D58" s="45">
        <v>5.4758423092057997E-3</v>
      </c>
      <c r="E58" s="39"/>
      <c r="F58" s="39">
        <f>$D58*$F$71</f>
        <v>716636.0881150997</v>
      </c>
      <c r="G58" s="39"/>
      <c r="H58" s="39">
        <f t="shared" si="88"/>
        <v>686513.5545970652</v>
      </c>
      <c r="I58" s="39"/>
      <c r="J58" s="39">
        <f t="shared" si="12"/>
        <v>702158.59138550167</v>
      </c>
      <c r="K58" s="39"/>
      <c r="L58" s="39">
        <f t="shared" si="0"/>
        <v>672503.07389100257</v>
      </c>
      <c r="M58" s="39"/>
      <c r="N58" s="39">
        <f t="shared" si="1"/>
        <v>687681.09465590375</v>
      </c>
      <c r="O58" s="39"/>
      <c r="P58" s="39">
        <f t="shared" si="2"/>
        <v>680442.3462911048</v>
      </c>
      <c r="Q58" s="39"/>
      <c r="R58" s="39">
        <f t="shared" si="3"/>
        <v>651487.35283190885</v>
      </c>
      <c r="S58" s="39"/>
      <c r="T58" s="39">
        <f t="shared" si="4"/>
        <v>665964.84956150688</v>
      </c>
      <c r="U58" s="39"/>
      <c r="V58" s="39">
        <f t="shared" si="5"/>
        <v>637476.87212584633</v>
      </c>
      <c r="W58" s="39"/>
      <c r="X58" s="39">
        <f t="shared" si="6"/>
        <v>651487.35283190885</v>
      </c>
      <c r="Y58" s="39"/>
      <c r="Z58" s="39">
        <f t="shared" si="21"/>
        <v>662423.31138302991</v>
      </c>
    </row>
    <row r="59" spans="1:26">
      <c r="A59" s="66"/>
      <c r="B59" s="3" t="s">
        <v>52</v>
      </c>
      <c r="C59" s="45"/>
      <c r="D59" s="45">
        <v>6.2231110180594655E-4</v>
      </c>
      <c r="E59" s="39"/>
      <c r="F59" s="39">
        <f>$D59*$F$71</f>
        <v>81443.286421718265</v>
      </c>
      <c r="G59" s="39"/>
      <c r="H59" s="39">
        <f t="shared" si="88"/>
        <v>78019.961577012611</v>
      </c>
      <c r="I59" s="39"/>
      <c r="J59" s="39">
        <f t="shared" si="12"/>
        <v>79797.967504107801</v>
      </c>
      <c r="K59" s="39"/>
      <c r="L59" s="39">
        <f t="shared" si="0"/>
        <v>76427.717463196022</v>
      </c>
      <c r="M59" s="39"/>
      <c r="N59" s="39">
        <f t="shared" si="1"/>
        <v>78152.648586497322</v>
      </c>
      <c r="O59" s="39"/>
      <c r="P59" s="39">
        <f t="shared" si="2"/>
        <v>77329.989127692097</v>
      </c>
      <c r="Q59" s="39"/>
      <c r="R59" s="39">
        <f t="shared" si="3"/>
        <v>74039.351292471154</v>
      </c>
      <c r="S59" s="39"/>
      <c r="T59" s="39">
        <f t="shared" si="4"/>
        <v>75684.670210081618</v>
      </c>
      <c r="U59" s="39"/>
      <c r="V59" s="39">
        <f t="shared" si="5"/>
        <v>72447.10717865458</v>
      </c>
      <c r="W59" s="39"/>
      <c r="X59" s="39">
        <f t="shared" si="6"/>
        <v>74039.351292471154</v>
      </c>
      <c r="Y59" s="39"/>
      <c r="Z59" s="39">
        <f t="shared" si="21"/>
        <v>75282.186281311326</v>
      </c>
    </row>
    <row r="60" spans="1:26" s="59" customFormat="1">
      <c r="A60" s="66"/>
      <c r="B60" s="56" t="s">
        <v>53</v>
      </c>
      <c r="C60" s="57">
        <v>1.2760357975380299E-4</v>
      </c>
      <c r="D60" s="57">
        <f>SUM(D57:D59)</f>
        <v>2.3969374461532383E-2</v>
      </c>
      <c r="E60" s="58">
        <f>+C60*$E$71</f>
        <v>76.026595628055091</v>
      </c>
      <c r="F60" s="62">
        <f>$D60*$F$71</f>
        <v>3136927.2120566033</v>
      </c>
      <c r="G60" s="58">
        <f>+C60*$G$71</f>
        <v>76.095246353962636</v>
      </c>
      <c r="H60" s="58">
        <f t="shared" si="88"/>
        <v>3005072.0115498253</v>
      </c>
      <c r="I60" s="58">
        <f>+C60*$I$71</f>
        <v>76.163897079870182</v>
      </c>
      <c r="J60" s="58">
        <f t="shared" si="12"/>
        <v>3073554.9451463688</v>
      </c>
      <c r="K60" s="58">
        <f t="shared" ref="K60" si="89">+C60*$K$71</f>
        <v>76.232547805777727</v>
      </c>
      <c r="L60" s="58">
        <f t="shared" si="0"/>
        <v>2943744.0113141146</v>
      </c>
      <c r="M60" s="58">
        <f>+C60*$M$71</f>
        <v>76.301198531685273</v>
      </c>
      <c r="N60" s="58">
        <f t="shared" si="1"/>
        <v>3010182.6782361344</v>
      </c>
      <c r="O60" s="58">
        <f>+C60*$O$71</f>
        <v>76.369849257592819</v>
      </c>
      <c r="P60" s="58">
        <f t="shared" si="2"/>
        <v>2978496.5447810171</v>
      </c>
      <c r="Q60" s="58">
        <f>+C60*$Q$71</f>
        <v>76.438499983500364</v>
      </c>
      <c r="R60" s="58">
        <f t="shared" si="3"/>
        <v>2851752.0109605487</v>
      </c>
      <c r="S60" s="58">
        <f>+C60*$S$71</f>
        <v>76.50715070940791</v>
      </c>
      <c r="T60" s="58">
        <f t="shared" si="4"/>
        <v>2915124.2778707831</v>
      </c>
      <c r="U60" s="58">
        <f>+C60*$U$71</f>
        <v>76.575801435315455</v>
      </c>
      <c r="V60" s="58">
        <f t="shared" si="5"/>
        <v>2790424.0107248379</v>
      </c>
      <c r="W60" s="58">
        <f>+C60*$W$71</f>
        <v>76.644452161223001</v>
      </c>
      <c r="X60" s="58">
        <f t="shared" si="6"/>
        <v>2851752.0109605487</v>
      </c>
      <c r="Y60" s="74">
        <f t="shared" ref="Y60" si="90">(W60+U60+S60+Q60+O60+M60)/6</f>
        <v>76.47282534645413</v>
      </c>
      <c r="Z60" s="62">
        <f t="shared" si="21"/>
        <v>2899621.922255645</v>
      </c>
    </row>
    <row r="61" spans="1:26">
      <c r="A61" s="66"/>
      <c r="B61" s="3"/>
      <c r="C61" s="45"/>
      <c r="D61" s="45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>
      <c r="A62" s="66"/>
      <c r="B62" s="3" t="s">
        <v>54</v>
      </c>
      <c r="C62" s="45"/>
      <c r="D62" s="45">
        <v>2.6884917980997541E-3</v>
      </c>
      <c r="E62" s="39"/>
      <c r="F62" s="39">
        <f t="shared" ref="F62:F70" si="91">$D62*$F$71</f>
        <v>351849.11038812896</v>
      </c>
      <c r="G62" s="39"/>
      <c r="H62" s="39">
        <f t="shared" ref="H62:H70" si="92">+D62*$H$71</f>
        <v>337059.75384200038</v>
      </c>
      <c r="I62" s="39"/>
      <c r="J62" s="39">
        <f t="shared" si="12"/>
        <v>344741.0475520051</v>
      </c>
      <c r="K62" s="39"/>
      <c r="L62" s="39">
        <f t="shared" si="0"/>
        <v>330180.98335542891</v>
      </c>
      <c r="M62" s="39"/>
      <c r="N62" s="39">
        <f t="shared" si="1"/>
        <v>337632.98471588129</v>
      </c>
      <c r="O62" s="39"/>
      <c r="P62" s="39">
        <f t="shared" si="2"/>
        <v>334078.95329781942</v>
      </c>
      <c r="Q62" s="39"/>
      <c r="R62" s="39">
        <f t="shared" si="3"/>
        <v>319862.82762557181</v>
      </c>
      <c r="S62" s="39"/>
      <c r="T62" s="39">
        <f t="shared" si="4"/>
        <v>326970.89046169561</v>
      </c>
      <c r="U62" s="39"/>
      <c r="V62" s="39">
        <f t="shared" si="5"/>
        <v>312984.05713900033</v>
      </c>
      <c r="W62" s="39"/>
      <c r="X62" s="39">
        <f t="shared" si="6"/>
        <v>319862.82762557181</v>
      </c>
      <c r="Y62" s="39"/>
      <c r="Z62" s="39">
        <f t="shared" si="21"/>
        <v>325232.09014425671</v>
      </c>
    </row>
    <row r="63" spans="1:26">
      <c r="A63" s="66"/>
      <c r="B63" s="3" t="s">
        <v>55</v>
      </c>
      <c r="C63" s="45"/>
      <c r="D63" s="45">
        <v>8.2582660189203739E-4</v>
      </c>
      <c r="E63" s="39"/>
      <c r="F63" s="39">
        <f t="shared" si="91"/>
        <v>108077.82840027235</v>
      </c>
      <c r="G63" s="39"/>
      <c r="H63" s="39">
        <f t="shared" si="92"/>
        <v>103534.96757797351</v>
      </c>
      <c r="I63" s="39"/>
      <c r="J63" s="39">
        <f t="shared" si="12"/>
        <v>105894.43792753956</v>
      </c>
      <c r="K63" s="39"/>
      <c r="L63" s="39">
        <f t="shared" si="0"/>
        <v>101422.00905597405</v>
      </c>
      <c r="M63" s="39"/>
      <c r="N63" s="39">
        <f t="shared" si="1"/>
        <v>103711.0474548068</v>
      </c>
      <c r="O63" s="39"/>
      <c r="P63" s="39">
        <f t="shared" si="2"/>
        <v>102619.35221844041</v>
      </c>
      <c r="Q63" s="39"/>
      <c r="R63" s="39">
        <f t="shared" si="3"/>
        <v>98252.571272974863</v>
      </c>
      <c r="S63" s="39"/>
      <c r="T63" s="39">
        <f t="shared" si="4"/>
        <v>100435.96174570764</v>
      </c>
      <c r="U63" s="39"/>
      <c r="V63" s="39">
        <f t="shared" si="5"/>
        <v>96139.612750975415</v>
      </c>
      <c r="W63" s="39"/>
      <c r="X63" s="39">
        <f t="shared" si="6"/>
        <v>98252.571272974863</v>
      </c>
      <c r="Y63" s="39"/>
      <c r="Z63" s="39">
        <f t="shared" si="21"/>
        <v>99901.85278597998</v>
      </c>
    </row>
    <row r="64" spans="1:26">
      <c r="A64" s="66"/>
      <c r="B64" s="3" t="s">
        <v>56</v>
      </c>
      <c r="C64" s="45"/>
      <c r="D64" s="45">
        <v>1.3318087349629565E-3</v>
      </c>
      <c r="E64" s="39"/>
      <c r="F64" s="39">
        <f t="shared" si="91"/>
        <v>174296.87490029263</v>
      </c>
      <c r="G64" s="39"/>
      <c r="H64" s="39">
        <f t="shared" si="92"/>
        <v>166970.61329646801</v>
      </c>
      <c r="I64" s="39"/>
      <c r="J64" s="39">
        <f t="shared" si="12"/>
        <v>170775.72591240791</v>
      </c>
      <c r="K64" s="39"/>
      <c r="L64" s="39">
        <f t="shared" si="0"/>
        <v>163563.04975980538</v>
      </c>
      <c r="M64" s="39"/>
      <c r="N64" s="39">
        <f t="shared" si="1"/>
        <v>167254.57692452322</v>
      </c>
      <c r="O64" s="39"/>
      <c r="P64" s="39">
        <f t="shared" si="2"/>
        <v>165494.00243058088</v>
      </c>
      <c r="Q64" s="39"/>
      <c r="R64" s="39">
        <f t="shared" si="3"/>
        <v>158451.70445481149</v>
      </c>
      <c r="S64" s="39"/>
      <c r="T64" s="39">
        <f t="shared" si="4"/>
        <v>161972.85344269619</v>
      </c>
      <c r="U64" s="39"/>
      <c r="V64" s="39">
        <f t="shared" si="5"/>
        <v>155044.14091814889</v>
      </c>
      <c r="W64" s="39"/>
      <c r="X64" s="39">
        <f t="shared" si="6"/>
        <v>158451.70445481149</v>
      </c>
      <c r="Y64" s="39"/>
      <c r="Z64" s="39">
        <f t="shared" si="21"/>
        <v>161111.49710426203</v>
      </c>
    </row>
    <row r="65" spans="1:26" s="59" customFormat="1">
      <c r="A65" s="66"/>
      <c r="B65" s="56" t="s">
        <v>57</v>
      </c>
      <c r="C65" s="57">
        <v>3.7720327298107732E-6</v>
      </c>
      <c r="D65" s="57">
        <f>SUM(D62:D64)</f>
        <v>4.8461271349547483E-3</v>
      </c>
      <c r="E65" s="58">
        <f>+C65*$E$71</f>
        <v>2.2473884165194482</v>
      </c>
      <c r="F65" s="62">
        <f t="shared" si="91"/>
        <v>634223.81368869403</v>
      </c>
      <c r="G65" s="58">
        <f>+C65*$G$71</f>
        <v>2.2494177701280864</v>
      </c>
      <c r="H65" s="58">
        <f t="shared" si="92"/>
        <v>607565.33471644192</v>
      </c>
      <c r="I65" s="58">
        <f>+C65*$I$71</f>
        <v>2.2514471237367246</v>
      </c>
      <c r="J65" s="58">
        <f t="shared" si="12"/>
        <v>621411.21139195259</v>
      </c>
      <c r="K65" s="58">
        <f t="shared" ref="K65" si="93">+C65*$K$71</f>
        <v>2.2534764773453628</v>
      </c>
      <c r="L65" s="58">
        <f t="shared" si="0"/>
        <v>595166.0421712083</v>
      </c>
      <c r="M65" s="58">
        <f>+C65*$M$71</f>
        <v>2.255505830954001</v>
      </c>
      <c r="N65" s="58">
        <f t="shared" si="1"/>
        <v>608598.60909521137</v>
      </c>
      <c r="O65" s="58">
        <f>+C65*$O$71</f>
        <v>2.2575351845626392</v>
      </c>
      <c r="P65" s="58">
        <f t="shared" si="2"/>
        <v>602192.30794684077</v>
      </c>
      <c r="Q65" s="58">
        <f>+C65*$Q$71</f>
        <v>2.2595645381712774</v>
      </c>
      <c r="R65" s="58">
        <f t="shared" si="3"/>
        <v>576567.10335335822</v>
      </c>
      <c r="S65" s="58">
        <f>+C65*$S$71</f>
        <v>2.2615938917799157</v>
      </c>
      <c r="T65" s="58">
        <f t="shared" si="4"/>
        <v>589379.70565009944</v>
      </c>
      <c r="U65" s="58">
        <f>+C65*$U$71</f>
        <v>2.2636232453885539</v>
      </c>
      <c r="V65" s="58">
        <f t="shared" si="5"/>
        <v>564167.81080812472</v>
      </c>
      <c r="W65" s="58">
        <f>+C65*$W$71</f>
        <v>2.2656525989971921</v>
      </c>
      <c r="X65" s="58">
        <f t="shared" si="6"/>
        <v>576567.10335335822</v>
      </c>
      <c r="Y65" s="74">
        <f t="shared" ref="Y65" si="94">(W65+U65+S65+Q65+O65+M65)/6</f>
        <v>2.2605792149755963</v>
      </c>
      <c r="Z65" s="39">
        <f t="shared" si="21"/>
        <v>586245.44003449881</v>
      </c>
    </row>
    <row r="66" spans="1:26" s="52" customFormat="1">
      <c r="A66" s="66"/>
      <c r="B66" s="49" t="s">
        <v>58</v>
      </c>
      <c r="C66" s="50">
        <f>+C55+C60+C65</f>
        <v>1.3417131660562338E-4</v>
      </c>
      <c r="D66" s="50">
        <f>+D55+D60+D65</f>
        <v>2.8844552007020227E-2</v>
      </c>
      <c r="E66" s="51"/>
      <c r="F66" s="51">
        <f t="shared" si="91"/>
        <v>3774952.9198443252</v>
      </c>
      <c r="G66" s="51"/>
      <c r="H66" s="51">
        <f t="shared" si="92"/>
        <v>3616279.4344549743</v>
      </c>
      <c r="I66" s="51"/>
      <c r="J66" s="51">
        <f t="shared" si="12"/>
        <v>3698691.2446959545</v>
      </c>
      <c r="K66" s="51"/>
      <c r="L66" s="51">
        <f t="shared" si="0"/>
        <v>3542477.8133436479</v>
      </c>
      <c r="M66" s="51"/>
      <c r="N66" s="51">
        <f t="shared" si="1"/>
        <v>3622429.5695475843</v>
      </c>
      <c r="O66" s="51"/>
      <c r="P66" s="51">
        <f t="shared" si="2"/>
        <v>3584298.7319733994</v>
      </c>
      <c r="Q66" s="51"/>
      <c r="R66" s="51">
        <f t="shared" si="3"/>
        <v>3431775.381676659</v>
      </c>
      <c r="S66" s="51"/>
      <c r="T66" s="51">
        <f t="shared" si="4"/>
        <v>3508037.0568250292</v>
      </c>
      <c r="U66" s="51"/>
      <c r="V66" s="51">
        <f t="shared" si="5"/>
        <v>3357973.7605653331</v>
      </c>
      <c r="W66" s="51"/>
      <c r="X66" s="51">
        <f t="shared" si="6"/>
        <v>3431775.381676659</v>
      </c>
      <c r="Y66" s="51"/>
      <c r="Z66" s="53">
        <f>Z65+Z60+Z55</f>
        <v>3489381.647044111</v>
      </c>
    </row>
    <row r="67" spans="1:26">
      <c r="A67" s="66" t="s">
        <v>59</v>
      </c>
      <c r="B67" s="3" t="s">
        <v>60</v>
      </c>
      <c r="C67" s="45">
        <v>7.2066861166955167E-5</v>
      </c>
      <c r="D67" s="45">
        <v>1.4512290865942328E-4</v>
      </c>
      <c r="E67" s="39">
        <f t="shared" ref="E67:E68" si="95">+C67*$E$71</f>
        <v>42.93765208385539</v>
      </c>
      <c r="F67" s="39">
        <f t="shared" si="91"/>
        <v>18992.569121782824</v>
      </c>
      <c r="G67" s="39">
        <f t="shared" ref="G67:G68" si="96">+C67*$G$71</f>
        <v>42.976424055163214</v>
      </c>
      <c r="H67" s="39">
        <f t="shared" si="92"/>
        <v>18194.249989586675</v>
      </c>
      <c r="I67" s="39">
        <f t="shared" ref="I67:I68" si="97">+C67*$I$71</f>
        <v>43.015196026471031</v>
      </c>
      <c r="J67" s="39">
        <f t="shared" si="12"/>
        <v>18608.880856696302</v>
      </c>
      <c r="K67" s="39">
        <f t="shared" ref="K67:K68" si="98">+C67*$K$71</f>
        <v>43.053967997778855</v>
      </c>
      <c r="L67" s="39">
        <f t="shared" ref="L67:L69" si="99">+D67*$L$71</f>
        <v>17822.938765309395</v>
      </c>
      <c r="M67" s="39">
        <f t="shared" ref="M67:M68" si="100">+C67*$M$71</f>
        <v>43.092739969086679</v>
      </c>
      <c r="N67" s="39">
        <f t="shared" ref="N67:N69" si="101">+D67*$N$71</f>
        <v>18225.192591609783</v>
      </c>
      <c r="O67" s="39">
        <f t="shared" ref="O67:O68" si="102">+C67*$O$71</f>
        <v>43.131511940394496</v>
      </c>
      <c r="P67" s="39">
        <f t="shared" ref="P67:P69" si="103">+D67*$P$71</f>
        <v>18033.348459066521</v>
      </c>
      <c r="Q67" s="39">
        <f t="shared" ref="Q67:Q68" si="104">+C67*$Q$71</f>
        <v>43.17028391170232</v>
      </c>
      <c r="R67" s="39">
        <f t="shared" ref="R67:R69" si="105">+D67*$R$71</f>
        <v>17265.971928893479</v>
      </c>
      <c r="S67" s="39">
        <f t="shared" ref="S67:S68" si="106">+C67*$S$71</f>
        <v>43.209055883010144</v>
      </c>
      <c r="T67" s="39">
        <f t="shared" ref="T67:T69" si="107">+D67*$T$71</f>
        <v>17649.660193979998</v>
      </c>
      <c r="U67" s="39">
        <f t="shared" ref="U67:U68" si="108">+C67*$U$71</f>
        <v>43.247827854317961</v>
      </c>
      <c r="V67" s="39">
        <f t="shared" ref="V67:V69" si="109">+D67*$V$71</f>
        <v>16894.660704616199</v>
      </c>
      <c r="W67" s="39">
        <f t="shared" ref="W67:W68" si="110">+C67*$W$71</f>
        <v>43.286599825625785</v>
      </c>
      <c r="X67" s="39">
        <f t="shared" ref="X67:X69" si="111">+D67*$X$71</f>
        <v>17265.971928893479</v>
      </c>
      <c r="Y67" s="39">
        <f t="shared" ref="Y67:Z71" si="112">(W67+U67+S67+Q67+O67+M67)/6</f>
        <v>43.189669897356225</v>
      </c>
      <c r="Z67" s="39">
        <f t="shared" si="21"/>
        <v>17555.800967843246</v>
      </c>
    </row>
    <row r="68" spans="1:26">
      <c r="A68" s="66"/>
      <c r="B68" s="3" t="s">
        <v>61</v>
      </c>
      <c r="C68" s="45">
        <v>4.4207163762985634E-3</v>
      </c>
      <c r="D68" s="45">
        <v>1.3005843778627754E-2</v>
      </c>
      <c r="E68" s="39">
        <f t="shared" si="95"/>
        <v>2633.876079147813</v>
      </c>
      <c r="F68" s="39">
        <f t="shared" si="91"/>
        <v>1702104.7140971657</v>
      </c>
      <c r="G68" s="39">
        <f t="shared" si="96"/>
        <v>2636.2544245582617</v>
      </c>
      <c r="H68" s="39">
        <f t="shared" si="92"/>
        <v>1630559.745664929</v>
      </c>
      <c r="I68" s="39">
        <f t="shared" si="97"/>
        <v>2638.6327699687104</v>
      </c>
      <c r="J68" s="39">
        <f t="shared" ref="J68:J70" si="113">+D68*$J$71</f>
        <v>1667718.7602770207</v>
      </c>
      <c r="K68" s="39">
        <f t="shared" si="98"/>
        <v>2641.011115379159</v>
      </c>
      <c r="L68" s="39">
        <f t="shared" si="99"/>
        <v>1597283.0161615629</v>
      </c>
      <c r="M68" s="39">
        <f t="shared" si="100"/>
        <v>2643.3894607896073</v>
      </c>
      <c r="N68" s="39">
        <f t="shared" si="101"/>
        <v>1633332.806456876</v>
      </c>
      <c r="O68" s="39">
        <f t="shared" si="102"/>
        <v>2645.7678062000559</v>
      </c>
      <c r="P68" s="39">
        <f t="shared" si="103"/>
        <v>1616139.8295468036</v>
      </c>
      <c r="Q68" s="39">
        <f t="shared" si="104"/>
        <v>2648.1461516105046</v>
      </c>
      <c r="R68" s="39">
        <f t="shared" si="105"/>
        <v>1547367.9219065143</v>
      </c>
      <c r="S68" s="39">
        <f t="shared" si="106"/>
        <v>2650.5244970209533</v>
      </c>
      <c r="T68" s="39">
        <f t="shared" si="107"/>
        <v>1581753.8757266589</v>
      </c>
      <c r="U68" s="39">
        <f t="shared" si="108"/>
        <v>2652.902842431402</v>
      </c>
      <c r="V68" s="39">
        <f t="shared" si="109"/>
        <v>1514091.1924031484</v>
      </c>
      <c r="W68" s="39">
        <f t="shared" si="110"/>
        <v>2655.2811878418506</v>
      </c>
      <c r="X68" s="39">
        <f t="shared" si="111"/>
        <v>1547367.9219065143</v>
      </c>
      <c r="Y68" s="39">
        <f t="shared" si="112"/>
        <v>2649.3353243157289</v>
      </c>
      <c r="Z68" s="39">
        <f t="shared" si="112"/>
        <v>1573342.257991086</v>
      </c>
    </row>
    <row r="69" spans="1:26" s="52" customFormat="1">
      <c r="A69" s="66"/>
      <c r="B69" s="49" t="s">
        <v>62</v>
      </c>
      <c r="C69" s="50">
        <f>SUM(C67:C68)</f>
        <v>4.4927832374655188E-3</v>
      </c>
      <c r="D69" s="50">
        <f>SUM(D67:D68)</f>
        <v>1.3150966687287177E-2</v>
      </c>
      <c r="E69" s="51"/>
      <c r="F69" s="51">
        <f t="shared" si="91"/>
        <v>1721097.2832189484</v>
      </c>
      <c r="G69" s="51"/>
      <c r="H69" s="51">
        <f t="shared" si="92"/>
        <v>1648753.9956545155</v>
      </c>
      <c r="I69" s="51"/>
      <c r="J69" s="51">
        <f t="shared" si="113"/>
        <v>1686327.641133717</v>
      </c>
      <c r="K69" s="51"/>
      <c r="L69" s="51">
        <f t="shared" si="99"/>
        <v>1615105.9549268722</v>
      </c>
      <c r="M69" s="51"/>
      <c r="N69" s="51">
        <f t="shared" si="101"/>
        <v>1651557.9990484857</v>
      </c>
      <c r="O69" s="51"/>
      <c r="P69" s="51">
        <f t="shared" si="103"/>
        <v>1634173.1780058702</v>
      </c>
      <c r="Q69" s="51"/>
      <c r="R69" s="51">
        <f t="shared" si="105"/>
        <v>1564633.8938354077</v>
      </c>
      <c r="S69" s="51"/>
      <c r="T69" s="51">
        <f t="shared" si="107"/>
        <v>1599403.5359206388</v>
      </c>
      <c r="U69" s="51"/>
      <c r="V69" s="51">
        <f t="shared" si="109"/>
        <v>1530985.8531077646</v>
      </c>
      <c r="W69" s="51"/>
      <c r="X69" s="51">
        <f t="shared" si="111"/>
        <v>1564633.8938354077</v>
      </c>
      <c r="Y69" s="51"/>
      <c r="Z69" s="53">
        <f t="shared" si="112"/>
        <v>1590898.058958929</v>
      </c>
    </row>
    <row r="70" spans="1:26" s="52" customFormat="1">
      <c r="A70" s="55" t="s">
        <v>72</v>
      </c>
      <c r="B70" s="49" t="s">
        <v>73</v>
      </c>
      <c r="C70" s="50">
        <v>3.9231626174053215E-2</v>
      </c>
      <c r="D70" s="50">
        <v>0</v>
      </c>
      <c r="E70" s="51">
        <f>+C70*$E$71</f>
        <v>23374.320569379426</v>
      </c>
      <c r="F70" s="53">
        <f t="shared" si="91"/>
        <v>0</v>
      </c>
      <c r="G70" s="51">
        <f>+C70*$G$71</f>
        <v>23395.427184261069</v>
      </c>
      <c r="H70" s="51">
        <f t="shared" si="92"/>
        <v>0</v>
      </c>
      <c r="I70" s="51">
        <f>+C70*$I$71</f>
        <v>23416.533799142708</v>
      </c>
      <c r="J70" s="51">
        <f t="shared" si="113"/>
        <v>0</v>
      </c>
      <c r="K70" s="51">
        <f t="shared" ref="K70" si="114">+C70*$K$71</f>
        <v>23437.64041402435</v>
      </c>
      <c r="L70" s="51">
        <f>+D70*$L$71</f>
        <v>0</v>
      </c>
      <c r="M70" s="51">
        <f>+C70*$M$71</f>
        <v>23458.747028905989</v>
      </c>
      <c r="N70" s="51">
        <f>+D70*$N$71</f>
        <v>0</v>
      </c>
      <c r="O70" s="51">
        <f>+C70*$O$71</f>
        <v>23479.853643787632</v>
      </c>
      <c r="P70" s="51">
        <f>+D70*$P$71</f>
        <v>0</v>
      </c>
      <c r="Q70" s="51">
        <f>+C70*$Q$71</f>
        <v>23500.960258669271</v>
      </c>
      <c r="R70" s="51">
        <f>+D70*$R$71</f>
        <v>0</v>
      </c>
      <c r="S70" s="51">
        <f>+C70*$S$71</f>
        <v>23522.066873550913</v>
      </c>
      <c r="T70" s="51">
        <f>+D70*$T$71</f>
        <v>0</v>
      </c>
      <c r="U70" s="51">
        <f>+C70*$U$71</f>
        <v>23543.173488432552</v>
      </c>
      <c r="V70" s="51">
        <f>+D70*$V$71</f>
        <v>0</v>
      </c>
      <c r="W70" s="51">
        <f>+C70*$W$71</f>
        <v>23564.280103314195</v>
      </c>
      <c r="X70" s="51">
        <f>+D70*$X$71</f>
        <v>0</v>
      </c>
      <c r="Y70" s="75">
        <f t="shared" ref="Y70:Y71" si="115">(W70+U70+S70+Q70+O70+M70)/6</f>
        <v>23511.513566110094</v>
      </c>
      <c r="Z70" s="53">
        <f t="shared" si="112"/>
        <v>0</v>
      </c>
    </row>
    <row r="71" spans="1:26" s="43" customFormat="1">
      <c r="A71" s="67" t="s">
        <v>91</v>
      </c>
      <c r="B71" s="67"/>
      <c r="C71" s="48">
        <f>+C15+C21+C35+C40+C54+C66+C69+C70</f>
        <v>1</v>
      </c>
      <c r="D71" s="48">
        <f>+D15+D21+D35+D40+D54+D66+D69+D70</f>
        <v>0.99999999999999989</v>
      </c>
      <c r="E71" s="42">
        <v>595803</v>
      </c>
      <c r="F71" s="42">
        <v>130872301.94892858</v>
      </c>
      <c r="G71" s="42">
        <v>596341</v>
      </c>
      <c r="H71" s="42">
        <v>125371315.65000001</v>
      </c>
      <c r="I71" s="42">
        <v>596879</v>
      </c>
      <c r="J71" s="42">
        <v>128228417.06107143</v>
      </c>
      <c r="K71" s="42">
        <v>597417</v>
      </c>
      <c r="L71" s="42">
        <v>122812717.37142856</v>
      </c>
      <c r="M71" s="42">
        <v>597955</v>
      </c>
      <c r="N71" s="42">
        <v>125584532.17321429</v>
      </c>
      <c r="O71" s="42">
        <v>598493</v>
      </c>
      <c r="P71" s="42">
        <v>124262589.72928572</v>
      </c>
      <c r="Q71" s="42">
        <v>599031</v>
      </c>
      <c r="R71" s="42">
        <v>118974819.95357144</v>
      </c>
      <c r="S71" s="42">
        <v>599569</v>
      </c>
      <c r="T71" s="42">
        <v>121618704.84142858</v>
      </c>
      <c r="U71" s="42">
        <v>600107</v>
      </c>
      <c r="V71" s="42">
        <v>116416221.67500001</v>
      </c>
      <c r="W71" s="42">
        <v>600645</v>
      </c>
      <c r="X71" s="42">
        <v>118974819.95357144</v>
      </c>
      <c r="Y71" s="76">
        <f>SUM(Y3:Y67)</f>
        <v>573139.15110957413</v>
      </c>
      <c r="Z71" s="77">
        <f>Z66+Z54+Z40+Z35+Z21+Z15+Z67</f>
        <v>119398605.79635417</v>
      </c>
    </row>
  </sheetData>
  <mergeCells count="20">
    <mergeCell ref="Y1:Z1"/>
    <mergeCell ref="U1:V1"/>
    <mergeCell ref="W1:X1"/>
    <mergeCell ref="A36:A40"/>
    <mergeCell ref="G1:H1"/>
    <mergeCell ref="I1:J1"/>
    <mergeCell ref="K1:L1"/>
    <mergeCell ref="M1:N1"/>
    <mergeCell ref="O1:P1"/>
    <mergeCell ref="Q1:R1"/>
    <mergeCell ref="A2:B2"/>
    <mergeCell ref="A3:A15"/>
    <mergeCell ref="A16:A21"/>
    <mergeCell ref="A22:A35"/>
    <mergeCell ref="E1:F1"/>
    <mergeCell ref="A41:A54"/>
    <mergeCell ref="A55:A66"/>
    <mergeCell ref="A67:A69"/>
    <mergeCell ref="A71:B71"/>
    <mergeCell ref="S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82"/>
  <sheetViews>
    <sheetView topLeftCell="B61" workbookViewId="0">
      <selection activeCell="D73" sqref="D73"/>
    </sheetView>
  </sheetViews>
  <sheetFormatPr defaultColWidth="8.85546875" defaultRowHeight="15"/>
  <cols>
    <col min="1" max="1" width="13.28515625" style="2" bestFit="1" customWidth="1"/>
    <col min="2" max="2" width="23.85546875" style="2" bestFit="1" customWidth="1"/>
    <col min="3" max="3" width="15.28515625" style="2" customWidth="1"/>
    <col min="4" max="4" width="17.7109375" style="2" bestFit="1" customWidth="1"/>
    <col min="5" max="5" width="8.7109375" style="2" bestFit="1" customWidth="1"/>
    <col min="6" max="6" width="14.5703125" style="2" bestFit="1" customWidth="1"/>
    <col min="7" max="7" width="13.28515625" style="2" bestFit="1" customWidth="1"/>
    <col min="8" max="8" width="11.7109375" style="9" bestFit="1" customWidth="1"/>
    <col min="9" max="9" width="11.42578125" style="9" bestFit="1" customWidth="1"/>
    <col min="10" max="10" width="11.5703125" style="9" bestFit="1" customWidth="1"/>
    <col min="11" max="11" width="17.5703125" style="30" bestFit="1" customWidth="1"/>
    <col min="12" max="12" width="17.42578125" style="2" bestFit="1" customWidth="1"/>
    <col min="13" max="14" width="16.7109375" style="2" bestFit="1" customWidth="1"/>
    <col min="15" max="16384" width="8.85546875" style="2"/>
  </cols>
  <sheetData>
    <row r="2" spans="1:14" ht="57">
      <c r="A2" s="70" t="s">
        <v>0</v>
      </c>
      <c r="B2" s="70"/>
      <c r="C2" s="16" t="s">
        <v>67</v>
      </c>
      <c r="D2" s="17" t="s">
        <v>66</v>
      </c>
      <c r="E2" s="17" t="s">
        <v>71</v>
      </c>
      <c r="F2" s="16" t="s">
        <v>68</v>
      </c>
      <c r="G2" s="16" t="s">
        <v>77</v>
      </c>
      <c r="H2" s="19" t="s">
        <v>65</v>
      </c>
      <c r="I2" s="20" t="s">
        <v>69</v>
      </c>
      <c r="J2" s="20" t="s">
        <v>74</v>
      </c>
      <c r="K2" s="29" t="s">
        <v>70</v>
      </c>
    </row>
    <row r="3" spans="1:14">
      <c r="A3" s="66" t="s">
        <v>1</v>
      </c>
      <c r="B3" s="3" t="s">
        <v>2</v>
      </c>
      <c r="C3" s="4">
        <v>3.5558775430114581E-3</v>
      </c>
      <c r="D3" s="12">
        <f t="shared" ref="D3:D9" si="0">C3*$D$73</f>
        <v>445805.04585763597</v>
      </c>
      <c r="E3" s="4">
        <v>9.5507672007863934E-2</v>
      </c>
      <c r="F3" s="10">
        <f>E3*$F$73</f>
        <v>57134.981579232393</v>
      </c>
      <c r="G3" s="10"/>
      <c r="H3" s="13">
        <v>30</v>
      </c>
      <c r="I3" s="13">
        <v>400</v>
      </c>
      <c r="J3" s="13"/>
      <c r="K3" s="28">
        <f>+D3*H3+F3*I3</f>
        <v>36228144.007422037</v>
      </c>
      <c r="M3" s="37">
        <f>+D3*H3+F3*I3</f>
        <v>36228144.007422037</v>
      </c>
    </row>
    <row r="4" spans="1:14">
      <c r="A4" s="66"/>
      <c r="B4" s="3" t="s">
        <v>3</v>
      </c>
      <c r="C4" s="4">
        <v>1.6466229832483248E-2</v>
      </c>
      <c r="D4" s="10">
        <f t="shared" si="0"/>
        <v>2064392.897893704</v>
      </c>
      <c r="E4" s="4">
        <v>8.0007585013452218E-2</v>
      </c>
      <c r="F4" s="10">
        <f t="shared" ref="F4:F9" si="1">E4*$F$73</f>
        <v>47862.457537087437</v>
      </c>
      <c r="G4" s="10"/>
      <c r="H4" s="13">
        <v>37</v>
      </c>
      <c r="I4" s="13">
        <v>550</v>
      </c>
      <c r="J4" s="13"/>
      <c r="K4" s="28">
        <f>+D4*H4+F4*I4</f>
        <v>102706888.86746514</v>
      </c>
      <c r="M4" s="37">
        <f>+(D4-F4*30)*H4+F4*30*H3+I4*F4</f>
        <v>92655772.784676775</v>
      </c>
    </row>
    <row r="5" spans="1:14">
      <c r="A5" s="66"/>
      <c r="B5" s="3" t="s">
        <v>4</v>
      </c>
      <c r="C5" s="4">
        <v>4.5283724543501325E-2</v>
      </c>
      <c r="D5" s="10">
        <f t="shared" si="0"/>
        <v>5677280.1235509571</v>
      </c>
      <c r="E5" s="4">
        <v>0.13619449188479033</v>
      </c>
      <c r="F5" s="10">
        <f t="shared" si="1"/>
        <v>81474.813713286814</v>
      </c>
      <c r="G5" s="10"/>
      <c r="H5" s="13">
        <v>42</v>
      </c>
      <c r="I5" s="13">
        <v>650</v>
      </c>
      <c r="J5" s="13"/>
      <c r="K5" s="28">
        <f>+D5*H5+F5*I5</f>
        <v>291404394.10277665</v>
      </c>
      <c r="M5" s="37">
        <f>+(D5*H5+F5*I5)</f>
        <v>291404394.10277665</v>
      </c>
    </row>
    <row r="6" spans="1:14">
      <c r="A6" s="66"/>
      <c r="B6" s="3" t="s">
        <v>5</v>
      </c>
      <c r="C6" s="4">
        <v>6.5438743506242986E-2</v>
      </c>
      <c r="D6" s="10">
        <f t="shared" si="0"/>
        <v>8204141.3678605771</v>
      </c>
      <c r="E6" s="4">
        <v>0.14392551784959126</v>
      </c>
      <c r="F6" s="10">
        <f t="shared" si="1"/>
        <v>86099.698990053876</v>
      </c>
      <c r="G6" s="10"/>
      <c r="H6" s="13">
        <v>50</v>
      </c>
      <c r="I6" s="13">
        <v>1500</v>
      </c>
      <c r="J6" s="13"/>
      <c r="K6" s="28">
        <f t="shared" ref="K6:K8" si="2">+D6*H6+F6*I6</f>
        <v>539356616.87810969</v>
      </c>
      <c r="M6" s="9">
        <f>+(D6-90*F6)*H6+(90*F6*H5)+I6*F6</f>
        <v>477364833.60527086</v>
      </c>
    </row>
    <row r="7" spans="1:14">
      <c r="A7" s="66"/>
      <c r="B7" s="3" t="s">
        <v>6</v>
      </c>
      <c r="C7" s="4">
        <v>0.1196118303164963</v>
      </c>
      <c r="D7" s="10">
        <f t="shared" si="0"/>
        <v>14995892.534083698</v>
      </c>
      <c r="E7" s="4">
        <v>0.18885681474558089</v>
      </c>
      <c r="F7" s="10">
        <f t="shared" si="1"/>
        <v>112978.67914436039</v>
      </c>
      <c r="G7" s="10"/>
      <c r="H7" s="13">
        <v>50</v>
      </c>
      <c r="I7" s="13">
        <v>1500</v>
      </c>
      <c r="J7" s="13"/>
      <c r="K7" s="28">
        <f t="shared" si="2"/>
        <v>919262645.42072546</v>
      </c>
      <c r="M7" s="37">
        <f>+(D7-120*F7)*H7+30*F7*H6+90*F7*H5+I7*F7</f>
        <v>837917996.43678606</v>
      </c>
    </row>
    <row r="8" spans="1:14">
      <c r="A8" s="66"/>
      <c r="B8" s="3" t="s">
        <v>7</v>
      </c>
      <c r="C8" s="4">
        <v>0.18632746915167234</v>
      </c>
      <c r="D8" s="10">
        <f t="shared" si="0"/>
        <v>23360119.949279953</v>
      </c>
      <c r="E8" s="4">
        <v>0.1476262649417017</v>
      </c>
      <c r="F8" s="10">
        <f t="shared" si="1"/>
        <v>88313.574718484553</v>
      </c>
      <c r="G8" s="10"/>
      <c r="H8" s="13">
        <v>75</v>
      </c>
      <c r="I8" s="13">
        <v>2000</v>
      </c>
      <c r="J8" s="13"/>
      <c r="K8" s="28">
        <f t="shared" si="2"/>
        <v>1928636145.6329656</v>
      </c>
      <c r="L8" s="36">
        <f>SUM(K3:K8)</f>
        <v>3817594834.9094644</v>
      </c>
      <c r="M8" s="37">
        <f>+(D8-F8*180)*H8+60*F8*H7+90*F8*42+I8*F8</f>
        <v>1335168923.5247493</v>
      </c>
      <c r="N8" s="37">
        <f>SUM(M3:M8)</f>
        <v>3070740064.4616818</v>
      </c>
    </row>
    <row r="9" spans="1:14">
      <c r="A9" s="66"/>
      <c r="B9" s="1" t="s">
        <v>8</v>
      </c>
      <c r="C9" s="5">
        <f>SUM(C3:C8)</f>
        <v>0.43668387489340765</v>
      </c>
      <c r="D9" s="15">
        <f t="shared" si="0"/>
        <v>54747631.918526523</v>
      </c>
      <c r="E9" s="5">
        <f>SUM(E3:E8)</f>
        <v>0.7921183464429804</v>
      </c>
      <c r="F9" s="10">
        <f t="shared" si="1"/>
        <v>473864.2056825055</v>
      </c>
      <c r="G9" s="10"/>
      <c r="H9" s="13"/>
      <c r="I9" s="13"/>
      <c r="J9" s="13"/>
      <c r="K9" s="28"/>
    </row>
    <row r="10" spans="1:14" ht="7.9" customHeight="1">
      <c r="A10" s="66"/>
      <c r="B10" s="3"/>
      <c r="C10" s="4"/>
      <c r="D10" s="10"/>
      <c r="E10" s="10"/>
      <c r="F10" s="10"/>
      <c r="G10" s="10"/>
      <c r="H10" s="13"/>
      <c r="I10" s="13"/>
      <c r="J10" s="13"/>
      <c r="K10" s="28"/>
    </row>
    <row r="11" spans="1:14">
      <c r="A11" s="66"/>
      <c r="B11" s="3" t="s">
        <v>9</v>
      </c>
      <c r="C11" s="4">
        <v>2.6708681928241772E-4</v>
      </c>
      <c r="D11" s="10">
        <f t="shared" ref="D11:D24" si="3">C11*$D$73</f>
        <v>33485.025926210503</v>
      </c>
      <c r="E11" s="10"/>
      <c r="F11" s="10">
        <f t="shared" ref="F11:F24" si="4">E11*$F$73</f>
        <v>0</v>
      </c>
      <c r="G11" s="10"/>
      <c r="H11" s="13">
        <v>70</v>
      </c>
      <c r="I11" s="13"/>
      <c r="J11" s="13"/>
      <c r="K11" s="28">
        <f>D11*H11</f>
        <v>2343951.8148347354</v>
      </c>
    </row>
    <row r="12" spans="1:14">
      <c r="A12" s="66"/>
      <c r="B12" s="3" t="s">
        <v>10</v>
      </c>
      <c r="C12" s="4">
        <v>1.0434447101721564E-4</v>
      </c>
      <c r="D12" s="10">
        <f t="shared" si="3"/>
        <v>13081.803612231619</v>
      </c>
      <c r="E12" s="10"/>
      <c r="F12" s="10">
        <f t="shared" si="4"/>
        <v>0</v>
      </c>
      <c r="G12" s="10"/>
      <c r="H12" s="13">
        <v>90</v>
      </c>
      <c r="I12" s="13"/>
      <c r="J12" s="13"/>
      <c r="K12" s="28">
        <f t="shared" ref="K12:K13" si="5">D12*H12</f>
        <v>1177362.3251008457</v>
      </c>
    </row>
    <row r="13" spans="1:14">
      <c r="A13" s="66"/>
      <c r="B13" s="3" t="s">
        <v>11</v>
      </c>
      <c r="C13" s="4">
        <v>2.5902277724177097E-4</v>
      </c>
      <c r="D13" s="10">
        <f t="shared" si="3"/>
        <v>32474.026366117705</v>
      </c>
      <c r="E13" s="10"/>
      <c r="F13" s="10">
        <f t="shared" si="4"/>
        <v>0</v>
      </c>
      <c r="G13" s="10"/>
      <c r="H13" s="13">
        <v>40</v>
      </c>
      <c r="I13" s="13"/>
      <c r="J13" s="13"/>
      <c r="K13" s="28">
        <f t="shared" si="5"/>
        <v>1298961.0546447083</v>
      </c>
    </row>
    <row r="14" spans="1:14">
      <c r="A14" s="66"/>
      <c r="B14" s="1" t="s">
        <v>12</v>
      </c>
      <c r="C14" s="5">
        <f>SUM(C11:C13)</f>
        <v>6.3045406754140435E-4</v>
      </c>
      <c r="D14" s="15">
        <f t="shared" si="3"/>
        <v>79040.855904559823</v>
      </c>
      <c r="E14" s="5">
        <v>2.8271698441639835E-4</v>
      </c>
      <c r="F14" s="10">
        <f t="shared" si="4"/>
        <v>169.12808528551548</v>
      </c>
      <c r="G14" s="10"/>
      <c r="H14" s="13"/>
      <c r="I14" s="13">
        <v>2000</v>
      </c>
      <c r="J14" s="13"/>
      <c r="K14" s="28">
        <f>+F14*I14</f>
        <v>338256.17057103099</v>
      </c>
    </row>
    <row r="15" spans="1:14">
      <c r="A15" s="66"/>
      <c r="B15" s="6" t="s">
        <v>13</v>
      </c>
      <c r="C15" s="7">
        <f>+C9+C14</f>
        <v>0.43731432896094907</v>
      </c>
      <c r="D15" s="14">
        <f t="shared" si="3"/>
        <v>54826672.774431087</v>
      </c>
      <c r="E15" s="7">
        <f>+E9+E14</f>
        <v>0.7924010634273968</v>
      </c>
      <c r="F15" s="10">
        <f t="shared" si="4"/>
        <v>474033.33376779105</v>
      </c>
      <c r="G15" s="10"/>
      <c r="H15" s="13"/>
      <c r="I15" s="13"/>
      <c r="J15" s="13"/>
      <c r="K15" s="28"/>
    </row>
    <row r="16" spans="1:14">
      <c r="A16" s="66" t="s">
        <v>14</v>
      </c>
      <c r="B16" s="3" t="s">
        <v>2</v>
      </c>
      <c r="C16" s="4">
        <v>4.6690624036428585E-5</v>
      </c>
      <c r="D16" s="10">
        <f t="shared" si="3"/>
        <v>5853.6649639665657</v>
      </c>
      <c r="E16" s="4">
        <v>9.6753362131280385E-4</v>
      </c>
      <c r="F16" s="10">
        <f t="shared" si="4"/>
        <v>578.80183307623076</v>
      </c>
      <c r="G16" s="10"/>
      <c r="H16" s="13">
        <v>30</v>
      </c>
      <c r="I16" s="13">
        <v>400</v>
      </c>
      <c r="J16" s="13"/>
      <c r="K16" s="28">
        <f>D16*H16+F16*I16</f>
        <v>407130.68214948929</v>
      </c>
    </row>
    <row r="17" spans="1:12">
      <c r="A17" s="66"/>
      <c r="B17" s="3" t="s">
        <v>15</v>
      </c>
      <c r="C17" s="4">
        <v>1.5483431161675371E-4</v>
      </c>
      <c r="D17" s="10">
        <f t="shared" si="3"/>
        <v>19411.781355154493</v>
      </c>
      <c r="E17" s="4">
        <v>6.2498118198869618E-4</v>
      </c>
      <c r="F17" s="10">
        <f t="shared" si="4"/>
        <v>373.87874261400577</v>
      </c>
      <c r="G17" s="10"/>
      <c r="H17" s="13">
        <v>37</v>
      </c>
      <c r="I17" s="13">
        <v>550</v>
      </c>
      <c r="J17" s="13"/>
      <c r="K17" s="28">
        <f t="shared" ref="K17:K20" si="6">D17*H17+F17*I17</f>
        <v>923869.21857841942</v>
      </c>
    </row>
    <row r="18" spans="1:12">
      <c r="A18" s="66"/>
      <c r="B18" s="3" t="s">
        <v>5</v>
      </c>
      <c r="C18" s="4">
        <v>1.0024177210309812E-4</v>
      </c>
      <c r="D18" s="10">
        <f t="shared" si="3"/>
        <v>12567.442851652881</v>
      </c>
      <c r="E18" s="4">
        <v>2.1817251036004284E-4</v>
      </c>
      <c r="F18" s="10">
        <f t="shared" si="4"/>
        <v>130.51603183762626</v>
      </c>
      <c r="G18" s="10"/>
      <c r="H18" s="13">
        <v>42</v>
      </c>
      <c r="I18" s="13">
        <v>650</v>
      </c>
      <c r="J18" s="13"/>
      <c r="K18" s="28">
        <f t="shared" si="6"/>
        <v>612668.02046387806</v>
      </c>
    </row>
    <row r="19" spans="1:12">
      <c r="A19" s="66"/>
      <c r="B19" s="3" t="s">
        <v>6</v>
      </c>
      <c r="C19" s="4">
        <v>2.559826324273868E-4</v>
      </c>
      <c r="D19" s="10">
        <f t="shared" si="3"/>
        <v>32092.879410971836</v>
      </c>
      <c r="E19" s="4">
        <v>3.8671685659442929E-4</v>
      </c>
      <c r="F19" s="10">
        <f t="shared" si="4"/>
        <v>231.34330481934586</v>
      </c>
      <c r="G19" s="10"/>
      <c r="H19" s="13">
        <v>45</v>
      </c>
      <c r="I19" s="13">
        <v>1500</v>
      </c>
      <c r="J19" s="13"/>
      <c r="K19" s="28">
        <f t="shared" si="6"/>
        <v>1791194.5307227513</v>
      </c>
    </row>
    <row r="20" spans="1:12">
      <c r="A20" s="66"/>
      <c r="B20" s="3" t="s">
        <v>7</v>
      </c>
      <c r="C20" s="4">
        <v>5.8218854483512855E-3</v>
      </c>
      <c r="D20" s="10">
        <f t="shared" si="3"/>
        <v>729897.43822339084</v>
      </c>
      <c r="E20" s="4">
        <v>2.0803009404469254E-3</v>
      </c>
      <c r="F20" s="10">
        <f t="shared" si="4"/>
        <v>1244.4859497979214</v>
      </c>
      <c r="G20" s="10"/>
      <c r="H20" s="13">
        <v>50</v>
      </c>
      <c r="I20" s="13">
        <v>2000</v>
      </c>
      <c r="J20" s="13"/>
      <c r="K20" s="28">
        <f t="shared" si="6"/>
        <v>38983843.810765386</v>
      </c>
    </row>
    <row r="21" spans="1:12">
      <c r="A21" s="66"/>
      <c r="B21" s="6" t="s">
        <v>16</v>
      </c>
      <c r="C21" s="7">
        <f>SUM(C16:C20)</f>
        <v>6.379634788534953E-3</v>
      </c>
      <c r="D21" s="14">
        <f t="shared" si="3"/>
        <v>799823.20680513664</v>
      </c>
      <c r="E21" s="7">
        <f>SUM(E16:E20)</f>
        <v>4.2777051107028979E-3</v>
      </c>
      <c r="F21" s="10">
        <f t="shared" si="4"/>
        <v>2559.0258621451303</v>
      </c>
      <c r="G21" s="10"/>
      <c r="H21" s="13"/>
      <c r="I21" s="13"/>
      <c r="J21" s="13"/>
      <c r="K21" s="28"/>
    </row>
    <row r="22" spans="1:12">
      <c r="A22" s="72" t="s">
        <v>17</v>
      </c>
      <c r="B22" s="3" t="s">
        <v>18</v>
      </c>
      <c r="C22" s="4">
        <v>2.1694521116174075E-2</v>
      </c>
      <c r="D22" s="10">
        <f t="shared" si="3"/>
        <v>2719870.6547314506</v>
      </c>
      <c r="E22" s="4">
        <v>7.2488667081017505E-2</v>
      </c>
      <c r="F22" s="10">
        <f t="shared" si="4"/>
        <v>43364.460375874616</v>
      </c>
      <c r="G22" s="10"/>
      <c r="H22" s="13">
        <v>40</v>
      </c>
      <c r="I22" s="13">
        <v>1000</v>
      </c>
      <c r="J22" s="13"/>
      <c r="K22" s="28">
        <f>+D22*H22+F22*I22</f>
        <v>152159286.56513265</v>
      </c>
    </row>
    <row r="23" spans="1:12">
      <c r="A23" s="72"/>
      <c r="B23" s="3" t="s">
        <v>19</v>
      </c>
      <c r="C23" s="4">
        <v>0.1652369033705034</v>
      </c>
      <c r="D23" s="10">
        <f t="shared" si="3"/>
        <v>20715967.969491933</v>
      </c>
      <c r="E23" s="4">
        <v>7.9061079551271007E-2</v>
      </c>
      <c r="F23" s="10">
        <f t="shared" si="4"/>
        <v>47296.23525347955</v>
      </c>
      <c r="G23" s="10"/>
      <c r="H23" s="13">
        <v>47</v>
      </c>
      <c r="I23" s="13">
        <v>1600</v>
      </c>
      <c r="J23" s="13"/>
      <c r="K23" s="28">
        <f>+D23*H23+F23*I23</f>
        <v>1049324470.9716882</v>
      </c>
    </row>
    <row r="24" spans="1:12">
      <c r="A24" s="72"/>
      <c r="B24" s="1" t="s">
        <v>20</v>
      </c>
      <c r="C24" s="5">
        <f>SUM(C22:C23)</f>
        <v>0.18693142448667746</v>
      </c>
      <c r="D24" s="10">
        <f t="shared" si="3"/>
        <v>23435838.624223381</v>
      </c>
      <c r="E24" s="5">
        <f>SUM(E22:E23)</f>
        <v>0.15154974663228851</v>
      </c>
      <c r="F24" s="10">
        <f t="shared" si="4"/>
        <v>90660.695629354159</v>
      </c>
      <c r="G24" s="10"/>
      <c r="H24" s="13"/>
      <c r="I24" s="13"/>
      <c r="J24" s="13"/>
      <c r="K24" s="28"/>
    </row>
    <row r="25" spans="1:12" ht="7.9" customHeight="1">
      <c r="A25" s="72"/>
      <c r="B25" s="3"/>
      <c r="C25" s="4"/>
      <c r="D25" s="10"/>
      <c r="E25" s="10"/>
      <c r="F25" s="10"/>
      <c r="G25" s="10"/>
      <c r="H25" s="13"/>
      <c r="I25" s="13"/>
      <c r="J25" s="13"/>
      <c r="K25" s="28"/>
    </row>
    <row r="26" spans="1:12">
      <c r="A26" s="72"/>
      <c r="B26" s="3" t="s">
        <v>21</v>
      </c>
      <c r="C26" s="4">
        <v>8.1084170862314425E-2</v>
      </c>
      <c r="D26" s="10">
        <f>C26*$D$73</f>
        <v>10165629.179397754</v>
      </c>
      <c r="E26" s="10"/>
      <c r="F26" s="10">
        <f>E26*$F$73</f>
        <v>0</v>
      </c>
      <c r="G26" s="10"/>
      <c r="H26" s="13">
        <v>47</v>
      </c>
      <c r="I26" s="13"/>
      <c r="J26" s="13"/>
      <c r="K26" s="28">
        <f>+D26*H26</f>
        <v>477784571.43169445</v>
      </c>
    </row>
    <row r="27" spans="1:12">
      <c r="A27" s="72"/>
      <c r="B27" s="3" t="s">
        <v>22</v>
      </c>
      <c r="C27" s="4">
        <v>2.1519953157815179E-2</v>
      </c>
      <c r="D27" s="10">
        <f>C27*$D$73</f>
        <v>2697984.8401216613</v>
      </c>
      <c r="E27" s="10"/>
      <c r="F27" s="10">
        <f>E27*$F$73</f>
        <v>0</v>
      </c>
      <c r="G27" s="10"/>
      <c r="H27" s="13">
        <v>55</v>
      </c>
      <c r="I27" s="13"/>
      <c r="J27" s="13"/>
      <c r="K27" s="28">
        <f t="shared" ref="K27:K28" si="7">+D27*H27</f>
        <v>148389166.20669138</v>
      </c>
    </row>
    <row r="28" spans="1:12">
      <c r="A28" s="72"/>
      <c r="B28" s="3" t="s">
        <v>23</v>
      </c>
      <c r="C28" s="4">
        <v>2.2176891405672056E-2</v>
      </c>
      <c r="D28" s="10">
        <f>C28*$D$73</f>
        <v>2780346.0525562838</v>
      </c>
      <c r="E28" s="10"/>
      <c r="F28" s="10">
        <f>E28*$F$73</f>
        <v>0</v>
      </c>
      <c r="G28" s="10"/>
      <c r="H28" s="13">
        <v>39</v>
      </c>
      <c r="I28" s="13"/>
      <c r="J28" s="13"/>
      <c r="K28" s="28">
        <f t="shared" si="7"/>
        <v>108433496.04969507</v>
      </c>
    </row>
    <row r="29" spans="1:12">
      <c r="A29" s="72"/>
      <c r="B29" s="1" t="s">
        <v>24</v>
      </c>
      <c r="C29" s="5">
        <f>SUM(C26:C28)</f>
        <v>0.12478101542580167</v>
      </c>
      <c r="D29" s="10">
        <f>C29*$D$73</f>
        <v>15643960.0720757</v>
      </c>
      <c r="E29" s="4">
        <v>2.2745935450066211E-3</v>
      </c>
      <c r="F29" s="10">
        <f>E29*$F$73</f>
        <v>1360.716448868041</v>
      </c>
      <c r="G29" s="26">
        <f>770758.212121212/10</f>
        <v>77075.821212121198</v>
      </c>
      <c r="H29" s="13"/>
      <c r="I29" s="13">
        <v>5000</v>
      </c>
      <c r="J29" s="13">
        <v>1600</v>
      </c>
      <c r="K29" s="28">
        <f>+F29*I29+G29*J29</f>
        <v>130124896.18373413</v>
      </c>
      <c r="L29" s="27" t="s">
        <v>78</v>
      </c>
    </row>
    <row r="30" spans="1:12" ht="7.9" customHeight="1">
      <c r="A30" s="72"/>
      <c r="B30" s="3"/>
      <c r="C30" s="4"/>
      <c r="D30" s="10"/>
      <c r="E30" s="4"/>
      <c r="F30" s="10"/>
      <c r="G30" s="10"/>
      <c r="H30" s="13"/>
      <c r="I30" s="13"/>
      <c r="J30" s="13"/>
      <c r="K30" s="28"/>
    </row>
    <row r="31" spans="1:12">
      <c r="A31" s="72"/>
      <c r="B31" s="3" t="s">
        <v>25</v>
      </c>
      <c r="C31" s="4">
        <v>2.988370333716496E-3</v>
      </c>
      <c r="D31" s="10">
        <f t="shared" ref="D31:D38" si="8">C31*$D$73</f>
        <v>374655.92038746667</v>
      </c>
      <c r="E31" s="4"/>
      <c r="F31" s="10">
        <f>E31*$F$73</f>
        <v>0</v>
      </c>
      <c r="G31" s="10"/>
      <c r="H31" s="13">
        <v>46</v>
      </c>
      <c r="I31" s="13"/>
      <c r="J31" s="13"/>
      <c r="K31" s="28">
        <f t="shared" ref="K31:K33" si="9">+D31*H31</f>
        <v>17234172.337823465</v>
      </c>
    </row>
    <row r="32" spans="1:12">
      <c r="A32" s="72"/>
      <c r="B32" s="3" t="s">
        <v>26</v>
      </c>
      <c r="C32" s="4">
        <v>8.8005754528591848E-4</v>
      </c>
      <c r="D32" s="10">
        <f t="shared" si="8"/>
        <v>110333.97230020506</v>
      </c>
      <c r="E32" s="4"/>
      <c r="F32" s="10">
        <f>E32*$F$73</f>
        <v>0</v>
      </c>
      <c r="G32" s="10"/>
      <c r="H32" s="13">
        <v>54</v>
      </c>
      <c r="I32" s="13"/>
      <c r="J32" s="13"/>
      <c r="K32" s="28">
        <f t="shared" si="9"/>
        <v>5958034.5042110728</v>
      </c>
    </row>
    <row r="33" spans="1:12">
      <c r="A33" s="72"/>
      <c r="B33" s="3" t="s">
        <v>27</v>
      </c>
      <c r="C33" s="4">
        <v>5.9716444039037897E-4</v>
      </c>
      <c r="D33" s="10">
        <f t="shared" si="8"/>
        <v>74867.291551137809</v>
      </c>
      <c r="E33" s="4"/>
      <c r="F33" s="10">
        <f>E33*$F$73</f>
        <v>0</v>
      </c>
      <c r="G33" s="18"/>
      <c r="H33" s="21">
        <v>38</v>
      </c>
      <c r="I33" s="21"/>
      <c r="J33" s="21"/>
      <c r="K33" s="28">
        <f t="shared" si="9"/>
        <v>2844957.0789432367</v>
      </c>
    </row>
    <row r="34" spans="1:12">
      <c r="A34" s="72"/>
      <c r="B34" s="1" t="s">
        <v>28</v>
      </c>
      <c r="C34" s="5">
        <f>SUM(C31:C33)</f>
        <v>4.4655923193927935E-3</v>
      </c>
      <c r="D34" s="10">
        <f t="shared" si="8"/>
        <v>559857.18423880951</v>
      </c>
      <c r="E34" s="4">
        <v>1.0181597923952834E-5</v>
      </c>
      <c r="F34" s="10">
        <f>E34*$F$73</f>
        <v>6.0908762364587599</v>
      </c>
      <c r="G34" s="26">
        <f>23565.5101010101/10</f>
        <v>2356.55101010101</v>
      </c>
      <c r="H34" s="13"/>
      <c r="I34" s="13">
        <v>5000</v>
      </c>
      <c r="J34" s="13">
        <v>1500</v>
      </c>
      <c r="K34" s="28">
        <f>+F34*I34+G34*J34</f>
        <v>3565280.896333809</v>
      </c>
    </row>
    <row r="35" spans="1:12">
      <c r="A35" s="72"/>
      <c r="B35" s="6" t="s">
        <v>29</v>
      </c>
      <c r="C35" s="7">
        <f>+C24+C29+C34</f>
        <v>0.31617803223187191</v>
      </c>
      <c r="D35" s="14">
        <f t="shared" si="8"/>
        <v>39639655.88053789</v>
      </c>
      <c r="E35" s="7">
        <f>+E24+E29+E34</f>
        <v>0.15383452177521909</v>
      </c>
      <c r="F35" s="10">
        <f>E35*$F$73</f>
        <v>92027.502954458658</v>
      </c>
      <c r="G35" s="10"/>
      <c r="H35" s="13"/>
      <c r="I35" s="13"/>
      <c r="J35" s="13"/>
      <c r="K35" s="28"/>
    </row>
    <row r="36" spans="1:12">
      <c r="A36" s="25"/>
      <c r="B36" s="1"/>
      <c r="C36" s="31"/>
      <c r="D36" s="32"/>
      <c r="E36" s="31"/>
      <c r="F36" s="10"/>
      <c r="G36" s="10"/>
      <c r="H36" s="13"/>
      <c r="I36" s="13"/>
      <c r="J36" s="13"/>
      <c r="K36" s="28"/>
    </row>
    <row r="37" spans="1:12" ht="57">
      <c r="A37" s="70" t="s">
        <v>0</v>
      </c>
      <c r="B37" s="70"/>
      <c r="C37" s="16" t="s">
        <v>67</v>
      </c>
      <c r="D37" s="17" t="s">
        <v>66</v>
      </c>
      <c r="E37" s="17" t="s">
        <v>71</v>
      </c>
      <c r="F37" s="16" t="s">
        <v>68</v>
      </c>
      <c r="G37" s="16" t="s">
        <v>77</v>
      </c>
      <c r="H37" s="19" t="s">
        <v>65</v>
      </c>
      <c r="I37" s="20" t="s">
        <v>69</v>
      </c>
      <c r="J37" s="20" t="s">
        <v>74</v>
      </c>
      <c r="K37" s="29" t="s">
        <v>70</v>
      </c>
    </row>
    <row r="38" spans="1:12">
      <c r="A38" s="66" t="s">
        <v>30</v>
      </c>
      <c r="B38" s="3" t="s">
        <v>31</v>
      </c>
      <c r="C38" s="4">
        <v>6.8085081233872308E-4</v>
      </c>
      <c r="D38" s="10">
        <f t="shared" si="8"/>
        <v>85359.162104276969</v>
      </c>
      <c r="E38" s="4">
        <v>6.8330156117031929E-4</v>
      </c>
      <c r="F38" s="10">
        <f>E38*$F$73</f>
        <v>408.76739312955311</v>
      </c>
      <c r="G38" s="10"/>
      <c r="H38" s="13">
        <v>47</v>
      </c>
      <c r="I38" s="13">
        <v>1600</v>
      </c>
      <c r="J38" s="13"/>
      <c r="K38" s="28">
        <f>+D38*H38+F38*I38</f>
        <v>4665908.4479083028</v>
      </c>
    </row>
    <row r="39" spans="1:12" ht="7.9" customHeight="1">
      <c r="A39" s="66"/>
      <c r="B39" s="3"/>
      <c r="C39" s="4"/>
      <c r="D39" s="10"/>
      <c r="E39" s="10"/>
      <c r="F39" s="10"/>
      <c r="G39" s="10"/>
      <c r="H39" s="13"/>
      <c r="I39" s="13"/>
      <c r="J39" s="13"/>
      <c r="K39" s="28"/>
    </row>
    <row r="40" spans="1:12">
      <c r="A40" s="66"/>
      <c r="B40" s="3" t="s">
        <v>32</v>
      </c>
      <c r="C40" s="4">
        <v>9.0268562046623996E-3</v>
      </c>
      <c r="D40" s="10">
        <f t="shared" ref="D40:D45" si="10">C40*$D$73</f>
        <v>1131708.8385618906</v>
      </c>
      <c r="E40" s="4">
        <v>7.1827596425898621E-5</v>
      </c>
      <c r="F40" s="10">
        <f t="shared" ref="F40:F45" si="11">E40*$F$73</f>
        <v>42.968992044286779</v>
      </c>
      <c r="G40" s="26">
        <f>51932.9747474747/10</f>
        <v>5193.29747474747</v>
      </c>
      <c r="H40" s="22">
        <v>47</v>
      </c>
      <c r="I40" s="13">
        <v>5000</v>
      </c>
      <c r="J40" s="13">
        <v>1600</v>
      </c>
      <c r="K40" s="28">
        <f>+D40*H40+F40*I40+G40*J40</f>
        <v>61714436.332226247</v>
      </c>
      <c r="L40" s="23" t="s">
        <v>75</v>
      </c>
    </row>
    <row r="41" spans="1:12">
      <c r="A41" s="66"/>
      <c r="B41" s="3" t="s">
        <v>33</v>
      </c>
      <c r="C41" s="4">
        <v>0</v>
      </c>
      <c r="D41" s="10">
        <f t="shared" si="10"/>
        <v>0</v>
      </c>
      <c r="E41" s="4">
        <v>0</v>
      </c>
      <c r="F41" s="10">
        <f t="shared" si="11"/>
        <v>0</v>
      </c>
      <c r="G41" s="10"/>
      <c r="H41" s="22">
        <v>46</v>
      </c>
      <c r="I41" s="13">
        <v>5000</v>
      </c>
      <c r="J41" s="13">
        <v>1500</v>
      </c>
      <c r="K41" s="28">
        <f>+D41*H41+F41*I41+G41*J41</f>
        <v>0</v>
      </c>
      <c r="L41" s="23" t="s">
        <v>75</v>
      </c>
    </row>
    <row r="42" spans="1:12">
      <c r="A42" s="66"/>
      <c r="B42" s="6" t="s">
        <v>34</v>
      </c>
      <c r="C42" s="7">
        <f>SUM(C38:C41)</f>
        <v>9.7077070170011222E-3</v>
      </c>
      <c r="D42" s="14">
        <f t="shared" si="10"/>
        <v>1217068.0006661676</v>
      </c>
      <c r="E42" s="7">
        <f>SUM(E38:E41)</f>
        <v>7.5512915759621787E-4</v>
      </c>
      <c r="F42" s="10">
        <f t="shared" si="11"/>
        <v>451.73638517383984</v>
      </c>
      <c r="G42" s="10"/>
      <c r="H42" s="13"/>
      <c r="I42" s="13"/>
      <c r="J42" s="13"/>
      <c r="K42" s="28"/>
      <c r="L42" s="27" t="s">
        <v>78</v>
      </c>
    </row>
    <row r="43" spans="1:12">
      <c r="A43" s="66" t="s">
        <v>35</v>
      </c>
      <c r="B43" s="3" t="s">
        <v>36</v>
      </c>
      <c r="C43" s="4">
        <v>9.1303720740420872E-4</v>
      </c>
      <c r="D43" s="10">
        <f t="shared" si="10"/>
        <v>114468.67592966757</v>
      </c>
      <c r="E43" s="4">
        <v>1.903499551940642E-3</v>
      </c>
      <c r="F43" s="10">
        <f t="shared" si="11"/>
        <v>1138.7191159601387</v>
      </c>
      <c r="G43" s="10"/>
      <c r="H43" s="13">
        <v>26</v>
      </c>
      <c r="I43" s="13">
        <v>1200</v>
      </c>
      <c r="J43" s="13"/>
      <c r="K43" s="28">
        <f t="shared" ref="K43" si="12">+D43*H43+F43*I43</f>
        <v>4342648.5133235231</v>
      </c>
    </row>
    <row r="44" spans="1:12">
      <c r="A44" s="66"/>
      <c r="B44" s="3" t="s">
        <v>37</v>
      </c>
      <c r="C44" s="4">
        <v>1.5614450955463478E-2</v>
      </c>
      <c r="D44" s="10">
        <f t="shared" si="10"/>
        <v>1957604.2594388558</v>
      </c>
      <c r="E44" s="4">
        <v>2.0163040454288274E-3</v>
      </c>
      <c r="F44" s="10">
        <f t="shared" si="11"/>
        <v>1206.2014712726148</v>
      </c>
      <c r="G44" s="10"/>
      <c r="H44" s="13">
        <v>26</v>
      </c>
      <c r="I44" s="13">
        <v>1600</v>
      </c>
      <c r="J44" s="13"/>
      <c r="K44" s="28">
        <f>+D44*H44+F44*I44</f>
        <v>52827633.099446431</v>
      </c>
    </row>
    <row r="45" spans="1:12">
      <c r="A45" s="66"/>
      <c r="B45" s="1" t="s">
        <v>38</v>
      </c>
      <c r="C45" s="5">
        <f>SUM(C43:C44)</f>
        <v>1.6527488162867688E-2</v>
      </c>
      <c r="D45" s="10">
        <f t="shared" si="10"/>
        <v>2072072.9353685237</v>
      </c>
      <c r="E45" s="5">
        <f>SUM(E43:E44)</f>
        <v>3.9198035973694693E-3</v>
      </c>
      <c r="F45" s="10">
        <f t="shared" si="11"/>
        <v>2344.9205872327534</v>
      </c>
      <c r="G45" s="10"/>
      <c r="H45" s="13"/>
      <c r="I45" s="13"/>
      <c r="J45" s="13"/>
      <c r="K45" s="28"/>
    </row>
    <row r="46" spans="1:12" ht="7.9" customHeight="1">
      <c r="A46" s="66"/>
      <c r="B46" s="3"/>
      <c r="C46" s="4"/>
      <c r="D46" s="10"/>
      <c r="E46" s="10"/>
      <c r="F46" s="10"/>
      <c r="G46" s="10"/>
      <c r="H46" s="13"/>
      <c r="I46" s="13"/>
      <c r="J46" s="13"/>
      <c r="K46" s="28"/>
    </row>
    <row r="47" spans="1:12">
      <c r="A47" s="66"/>
      <c r="B47" s="3" t="s">
        <v>39</v>
      </c>
      <c r="C47" s="4">
        <v>8.8497425117339878E-2</v>
      </c>
      <c r="D47" s="10">
        <f>C47*$D$73</f>
        <v>11095038.618598256</v>
      </c>
      <c r="E47" s="10"/>
      <c r="F47" s="10">
        <f>E47*$F$73</f>
        <v>0</v>
      </c>
      <c r="G47" s="10"/>
      <c r="H47" s="13">
        <v>37</v>
      </c>
      <c r="I47" s="13"/>
      <c r="J47" s="13"/>
      <c r="K47" s="28">
        <f t="shared" ref="K47:K49" si="13">+D47*H47</f>
        <v>410516428.88813549</v>
      </c>
    </row>
    <row r="48" spans="1:12">
      <c r="A48" s="66"/>
      <c r="B48" s="3" t="s">
        <v>40</v>
      </c>
      <c r="C48" s="4">
        <v>1.8511263260483236E-2</v>
      </c>
      <c r="D48" s="10">
        <f>C48*$D$73</f>
        <v>2320781.429310292</v>
      </c>
      <c r="E48" s="10"/>
      <c r="F48" s="10">
        <f>E48*$F$73</f>
        <v>0</v>
      </c>
      <c r="G48" s="10"/>
      <c r="H48" s="13">
        <v>40</v>
      </c>
      <c r="I48" s="13"/>
      <c r="J48" s="13"/>
      <c r="K48" s="28">
        <f t="shared" si="13"/>
        <v>92831257.17241168</v>
      </c>
    </row>
    <row r="49" spans="1:12">
      <c r="A49" s="66"/>
      <c r="B49" s="3" t="s">
        <v>41</v>
      </c>
      <c r="C49" s="4">
        <v>2.6626220605934496E-2</v>
      </c>
      <c r="D49" s="10">
        <f>C49*$D$73</f>
        <v>3338164.3081531483</v>
      </c>
      <c r="E49" s="10"/>
      <c r="F49" s="10">
        <f>E49*$F$73</f>
        <v>0</v>
      </c>
      <c r="G49" s="10"/>
      <c r="H49" s="13">
        <v>34</v>
      </c>
      <c r="I49" s="13"/>
      <c r="J49" s="13"/>
      <c r="K49" s="28">
        <f t="shared" si="13"/>
        <v>113497586.47720703</v>
      </c>
    </row>
    <row r="50" spans="1:12">
      <c r="A50" s="66"/>
      <c r="B50" s="1" t="s">
        <v>42</v>
      </c>
      <c r="C50" s="5">
        <f>SUM(C47:C49)</f>
        <v>0.1336349089837576</v>
      </c>
      <c r="D50" s="10">
        <f>C50*$D$73</f>
        <v>16753984.356061695</v>
      </c>
      <c r="E50" s="4">
        <v>9.2290592969486603E-4</v>
      </c>
      <c r="F50" s="10">
        <f>E50*$F$73</f>
        <v>552.10447688578154</v>
      </c>
      <c r="G50" s="26">
        <f>733889.742424242/10</f>
        <v>73388.974242424199</v>
      </c>
      <c r="H50" s="13"/>
      <c r="I50" s="13">
        <v>5000</v>
      </c>
      <c r="J50" s="13">
        <v>1600</v>
      </c>
      <c r="K50" s="28">
        <f>+F50*I50+G50*J50</f>
        <v>120182881.17230763</v>
      </c>
    </row>
    <row r="51" spans="1:12" ht="7.9" customHeight="1">
      <c r="A51" s="66"/>
      <c r="B51" s="3"/>
      <c r="C51" s="4"/>
      <c r="D51" s="10"/>
      <c r="E51" s="4"/>
      <c r="F51" s="10"/>
      <c r="G51" s="10"/>
      <c r="H51" s="13"/>
      <c r="I51" s="13"/>
      <c r="J51" s="13"/>
      <c r="K51" s="28"/>
    </row>
    <row r="52" spans="1:12">
      <c r="A52" s="66"/>
      <c r="B52" s="3" t="s">
        <v>43</v>
      </c>
      <c r="C52" s="4">
        <v>2.3025071803750966E-2</v>
      </c>
      <c r="D52" s="10">
        <f t="shared" ref="D52:D57" si="14">C52*$D$73</f>
        <v>2886683.5449719774</v>
      </c>
      <c r="E52" s="4"/>
      <c r="F52" s="10">
        <f t="shared" ref="F52:F57" si="15">E52*$F$73</f>
        <v>0</v>
      </c>
      <c r="G52" s="10"/>
      <c r="H52" s="13">
        <v>36.5</v>
      </c>
      <c r="I52" s="13"/>
      <c r="J52" s="13"/>
      <c r="K52" s="28">
        <f t="shared" ref="K52:K54" si="16">+D52*H52</f>
        <v>105363949.39147717</v>
      </c>
    </row>
    <row r="53" spans="1:12">
      <c r="A53" s="66"/>
      <c r="B53" s="3" t="s">
        <v>44</v>
      </c>
      <c r="C53" s="4">
        <v>9.4214461082130288E-3</v>
      </c>
      <c r="D53" s="10">
        <f t="shared" si="14"/>
        <v>1181179.0939122397</v>
      </c>
      <c r="E53" s="4"/>
      <c r="F53" s="10">
        <f t="shared" si="15"/>
        <v>0</v>
      </c>
      <c r="G53" s="10"/>
      <c r="H53" s="13">
        <v>39.5</v>
      </c>
      <c r="I53" s="13"/>
      <c r="J53" s="13"/>
      <c r="K53" s="28">
        <f t="shared" si="16"/>
        <v>46656574.209533468</v>
      </c>
    </row>
    <row r="54" spans="1:12">
      <c r="A54" s="66"/>
      <c r="B54" s="3" t="s">
        <v>45</v>
      </c>
      <c r="C54" s="4">
        <v>5.8158632487462633E-3</v>
      </c>
      <c r="D54" s="10">
        <f t="shared" si="14"/>
        <v>729142.42713580222</v>
      </c>
      <c r="E54" s="4"/>
      <c r="F54" s="10">
        <f t="shared" si="15"/>
        <v>0</v>
      </c>
      <c r="G54" s="10"/>
      <c r="H54" s="13">
        <v>33.5</v>
      </c>
      <c r="I54" s="13"/>
      <c r="J54" s="13"/>
      <c r="K54" s="28">
        <f t="shared" si="16"/>
        <v>24426271.309049375</v>
      </c>
    </row>
    <row r="55" spans="1:12">
      <c r="A55" s="66"/>
      <c r="B55" s="1" t="s">
        <v>46</v>
      </c>
      <c r="C55" s="5">
        <f>SUM(C52:C54)</f>
        <v>3.8262381160710263E-2</v>
      </c>
      <c r="D55" s="10">
        <f t="shared" si="14"/>
        <v>4797005.0660200203</v>
      </c>
      <c r="E55" s="4">
        <v>3.029027389630507E-5</v>
      </c>
      <c r="F55" s="10">
        <f t="shared" si="15"/>
        <v>18.120368811343205</v>
      </c>
      <c r="G55" s="26">
        <f>185889.878787879/10</f>
        <v>18588.987878787899</v>
      </c>
      <c r="H55" s="13"/>
      <c r="I55" s="13">
        <v>5000</v>
      </c>
      <c r="J55" s="13">
        <v>1500</v>
      </c>
      <c r="K55" s="28">
        <f>+F55*I55+G55*J55</f>
        <v>27974083.662238564</v>
      </c>
    </row>
    <row r="56" spans="1:12">
      <c r="A56" s="66"/>
      <c r="B56" s="6" t="s">
        <v>47</v>
      </c>
      <c r="C56" s="7">
        <f>C45+C50+C55</f>
        <v>0.18842477830733556</v>
      </c>
      <c r="D56" s="14">
        <f t="shared" si="14"/>
        <v>23623062.357450239</v>
      </c>
      <c r="E56" s="7">
        <f>E45+E50+E55</f>
        <v>4.8729998009606409E-3</v>
      </c>
      <c r="F56" s="10">
        <f t="shared" si="15"/>
        <v>2915.1454329298786</v>
      </c>
      <c r="G56" s="10"/>
      <c r="H56" s="13"/>
      <c r="I56" s="13"/>
      <c r="J56" s="13"/>
      <c r="K56" s="28"/>
    </row>
    <row r="57" spans="1:12">
      <c r="A57" s="66" t="s">
        <v>48</v>
      </c>
      <c r="B57" s="3" t="s">
        <v>49</v>
      </c>
      <c r="C57" s="4">
        <v>2.9050410533096587E-5</v>
      </c>
      <c r="D57" s="10">
        <f t="shared" si="14"/>
        <v>3642.0881887069372</v>
      </c>
      <c r="E57" s="4">
        <v>2.7957041220096021E-6</v>
      </c>
      <c r="F57" s="10">
        <f t="shared" si="15"/>
        <v>1.6724573026850722</v>
      </c>
      <c r="G57" s="10"/>
      <c r="H57" s="22">
        <v>47</v>
      </c>
      <c r="I57" s="22">
        <v>1600</v>
      </c>
      <c r="J57" s="13"/>
      <c r="K57" s="28">
        <f>+D57*H57+F57*I57</f>
        <v>173854.07655352217</v>
      </c>
      <c r="L57" s="23" t="s">
        <v>76</v>
      </c>
    </row>
    <row r="58" spans="1:12" ht="7.9" customHeight="1">
      <c r="A58" s="66"/>
      <c r="B58" s="3"/>
      <c r="C58" s="4"/>
      <c r="D58" s="10"/>
      <c r="E58" s="4"/>
      <c r="F58" s="10"/>
      <c r="G58" s="10"/>
      <c r="H58" s="13"/>
      <c r="I58" s="13"/>
      <c r="J58" s="13"/>
      <c r="K58" s="28"/>
    </row>
    <row r="59" spans="1:12">
      <c r="A59" s="66"/>
      <c r="B59" s="3" t="s">
        <v>50</v>
      </c>
      <c r="C59" s="4">
        <v>1.7871221050520639E-2</v>
      </c>
      <c r="D59" s="10">
        <f>C59*$D$73</f>
        <v>2240538.4953757478</v>
      </c>
      <c r="E59" s="4"/>
      <c r="F59" s="10">
        <f>E59*$F$73</f>
        <v>0</v>
      </c>
      <c r="G59" s="10"/>
      <c r="H59" s="13">
        <v>47</v>
      </c>
      <c r="I59" s="13"/>
      <c r="J59" s="13"/>
      <c r="K59" s="28">
        <f t="shared" ref="K59:K61" si="17">+D59*H59</f>
        <v>105305309.28266014</v>
      </c>
    </row>
    <row r="60" spans="1:12">
      <c r="A60" s="66"/>
      <c r="B60" s="3" t="s">
        <v>51</v>
      </c>
      <c r="C60" s="4">
        <v>5.4758423092057997E-3</v>
      </c>
      <c r="D60" s="10">
        <f>C60*$D$73</f>
        <v>686513.5545970652</v>
      </c>
      <c r="E60" s="4"/>
      <c r="F60" s="10">
        <f>E60*$F$73</f>
        <v>0</v>
      </c>
      <c r="G60" s="10"/>
      <c r="H60" s="13">
        <v>55</v>
      </c>
      <c r="I60" s="13"/>
      <c r="J60" s="13"/>
      <c r="K60" s="28">
        <f t="shared" si="17"/>
        <v>37758245.502838589</v>
      </c>
    </row>
    <row r="61" spans="1:12">
      <c r="A61" s="66"/>
      <c r="B61" s="3" t="s">
        <v>52</v>
      </c>
      <c r="C61" s="4">
        <v>6.2231110180594655E-4</v>
      </c>
      <c r="D61" s="10">
        <f>C61*$D$73</f>
        <v>78019.961577012611</v>
      </c>
      <c r="E61" s="4"/>
      <c r="F61" s="10">
        <f>E61*$F$73</f>
        <v>0</v>
      </c>
      <c r="G61" s="10"/>
      <c r="H61" s="13">
        <v>39</v>
      </c>
      <c r="I61" s="13"/>
      <c r="J61" s="13"/>
      <c r="K61" s="28">
        <f t="shared" si="17"/>
        <v>3042778.5015034918</v>
      </c>
    </row>
    <row r="62" spans="1:12">
      <c r="A62" s="66"/>
      <c r="B62" s="1" t="s">
        <v>53</v>
      </c>
      <c r="C62" s="5">
        <f>SUM(C59:C61)</f>
        <v>2.3969374461532383E-2</v>
      </c>
      <c r="D62" s="10">
        <f>C62*$D$73</f>
        <v>3005072.0115498253</v>
      </c>
      <c r="E62" s="4">
        <v>1.2760357975380299E-4</v>
      </c>
      <c r="F62" s="10">
        <f>E62*$F$73</f>
        <v>76.335523894639039</v>
      </c>
      <c r="G62" s="26">
        <f>98812.0808080808/10</f>
        <v>9881.2080808080809</v>
      </c>
      <c r="H62" s="13"/>
      <c r="I62" s="13">
        <v>5000</v>
      </c>
      <c r="J62" s="13">
        <v>1600</v>
      </c>
      <c r="K62" s="28">
        <f>+F62*I62+G62*J62</f>
        <v>16191610.548766125</v>
      </c>
    </row>
    <row r="63" spans="1:12" ht="7.9" customHeight="1">
      <c r="A63" s="66"/>
      <c r="B63" s="3"/>
      <c r="C63" s="4"/>
      <c r="D63" s="10"/>
      <c r="E63" s="4"/>
      <c r="F63" s="10"/>
      <c r="G63" s="10"/>
      <c r="H63" s="13"/>
      <c r="I63" s="13"/>
      <c r="J63" s="13"/>
      <c r="K63" s="28"/>
    </row>
    <row r="64" spans="1:12">
      <c r="A64" s="66"/>
      <c r="B64" s="3" t="s">
        <v>54</v>
      </c>
      <c r="C64" s="4">
        <v>2.6884917980997541E-3</v>
      </c>
      <c r="D64" s="10">
        <f t="shared" ref="D64:D70" si="18">C64*$D$73</f>
        <v>337059.75384200038</v>
      </c>
      <c r="E64" s="4"/>
      <c r="F64" s="10">
        <f t="shared" ref="F64:F72" si="19">E64*$F$73</f>
        <v>0</v>
      </c>
      <c r="G64" s="10"/>
      <c r="H64" s="13">
        <v>46</v>
      </c>
      <c r="I64" s="13"/>
      <c r="J64" s="13"/>
      <c r="K64" s="28">
        <f t="shared" ref="K64:K66" si="20">+D64*H64</f>
        <v>15504748.676732019</v>
      </c>
    </row>
    <row r="65" spans="1:11">
      <c r="A65" s="66"/>
      <c r="B65" s="3" t="s">
        <v>55</v>
      </c>
      <c r="C65" s="4">
        <v>8.2582660189203739E-4</v>
      </c>
      <c r="D65" s="10">
        <f t="shared" si="18"/>
        <v>103534.96757797351</v>
      </c>
      <c r="E65" s="4"/>
      <c r="F65" s="10">
        <f t="shared" si="19"/>
        <v>0</v>
      </c>
      <c r="G65" s="10"/>
      <c r="H65" s="13">
        <v>54</v>
      </c>
      <c r="I65" s="13"/>
      <c r="J65" s="13"/>
      <c r="K65" s="28">
        <f t="shared" si="20"/>
        <v>5590888.24921057</v>
      </c>
    </row>
    <row r="66" spans="1:11">
      <c r="A66" s="66"/>
      <c r="B66" s="3" t="s">
        <v>56</v>
      </c>
      <c r="C66" s="4">
        <v>1.3318087349629565E-3</v>
      </c>
      <c r="D66" s="10">
        <f t="shared" si="18"/>
        <v>166970.61329646801</v>
      </c>
      <c r="E66" s="4"/>
      <c r="F66" s="10">
        <f t="shared" si="19"/>
        <v>0</v>
      </c>
      <c r="G66" s="10"/>
      <c r="H66" s="21">
        <v>38</v>
      </c>
      <c r="I66" s="21"/>
      <c r="J66" s="21"/>
      <c r="K66" s="28">
        <f t="shared" si="20"/>
        <v>6344883.3052657843</v>
      </c>
    </row>
    <row r="67" spans="1:11">
      <c r="A67" s="66"/>
      <c r="B67" s="1" t="s">
        <v>57</v>
      </c>
      <c r="C67" s="5">
        <f>SUM(C64:C66)</f>
        <v>4.8461271349547483E-3</v>
      </c>
      <c r="D67" s="10">
        <f t="shared" si="18"/>
        <v>607565.33471644192</v>
      </c>
      <c r="E67" s="4">
        <v>3.7720327298107732E-6</v>
      </c>
      <c r="F67" s="10">
        <f t="shared" si="19"/>
        <v>2.2565205077583199</v>
      </c>
      <c r="G67" s="26">
        <f>14054.8181818182/10</f>
        <v>1405.48181818182</v>
      </c>
      <c r="H67" s="13"/>
      <c r="I67" s="13">
        <v>5000</v>
      </c>
      <c r="J67" s="13">
        <v>1500</v>
      </c>
      <c r="K67" s="28">
        <f>+F67*I67+G67*J67</f>
        <v>2119505.3298115213</v>
      </c>
    </row>
    <row r="68" spans="1:11">
      <c r="A68" s="66"/>
      <c r="B68" s="6" t="s">
        <v>58</v>
      </c>
      <c r="C68" s="7">
        <f>+C57+C62+C67</f>
        <v>2.8844552007020227E-2</v>
      </c>
      <c r="D68" s="14">
        <f t="shared" si="18"/>
        <v>3616279.4344549743</v>
      </c>
      <c r="E68" s="7">
        <f>+E57+E62+E67</f>
        <v>1.3417131660562338E-4</v>
      </c>
      <c r="F68" s="10">
        <f t="shared" si="19"/>
        <v>80.264501705082438</v>
      </c>
      <c r="G68" s="10"/>
      <c r="H68" s="13"/>
      <c r="I68" s="13"/>
      <c r="J68" s="13"/>
      <c r="K68" s="28"/>
    </row>
    <row r="69" spans="1:11">
      <c r="A69" s="66" t="s">
        <v>59</v>
      </c>
      <c r="B69" s="3" t="s">
        <v>60</v>
      </c>
      <c r="C69" s="4">
        <v>1.4512290865942328E-4</v>
      </c>
      <c r="D69" s="10">
        <f t="shared" si="18"/>
        <v>18194.249989586675</v>
      </c>
      <c r="E69" s="4">
        <v>7.2066861166955167E-5</v>
      </c>
      <c r="F69" s="10">
        <f t="shared" si="19"/>
        <v>43.112125954740591</v>
      </c>
      <c r="G69" s="10"/>
      <c r="H69" s="13">
        <v>45</v>
      </c>
      <c r="I69" s="13"/>
      <c r="J69" s="13"/>
      <c r="K69" s="28">
        <f>+D69*H69</f>
        <v>818741.24953140039</v>
      </c>
    </row>
    <row r="70" spans="1:11">
      <c r="A70" s="66"/>
      <c r="B70" s="3" t="s">
        <v>61</v>
      </c>
      <c r="C70" s="4">
        <v>1.3005843778627754E-2</v>
      </c>
      <c r="D70" s="10">
        <f t="shared" si="18"/>
        <v>1630559.745664929</v>
      </c>
      <c r="E70" s="4">
        <v>4.4207163762985634E-3</v>
      </c>
      <c r="F70" s="10">
        <f t="shared" si="19"/>
        <v>2644.5786334948316</v>
      </c>
      <c r="G70" s="10"/>
      <c r="H70" s="13"/>
      <c r="I70" s="13"/>
      <c r="J70" s="13"/>
      <c r="K70" s="28"/>
    </row>
    <row r="71" spans="1:11">
      <c r="A71" s="66"/>
      <c r="B71" s="6" t="s">
        <v>62</v>
      </c>
      <c r="C71" s="7">
        <f>SUM(C69:C70)</f>
        <v>1.3150966687287177E-2</v>
      </c>
      <c r="D71" s="14">
        <f>C71*$D$73</f>
        <v>1648753.9956545155</v>
      </c>
      <c r="E71" s="7">
        <f>SUM(E69:E70)</f>
        <v>4.4927832374655188E-3</v>
      </c>
      <c r="F71" s="10">
        <f t="shared" si="19"/>
        <v>2687.6907594495724</v>
      </c>
      <c r="G71" s="10"/>
      <c r="H71" s="13"/>
      <c r="I71" s="13"/>
      <c r="J71" s="13"/>
      <c r="K71" s="28"/>
    </row>
    <row r="72" spans="1:11">
      <c r="A72" s="24" t="s">
        <v>72</v>
      </c>
      <c r="B72" s="6" t="s">
        <v>73</v>
      </c>
      <c r="C72" s="7">
        <v>0</v>
      </c>
      <c r="D72" s="14">
        <v>0</v>
      </c>
      <c r="E72" s="7">
        <v>3.9231626174053215E-2</v>
      </c>
      <c r="F72" s="10">
        <f t="shared" si="19"/>
        <v>23469.300336346809</v>
      </c>
      <c r="G72" s="10"/>
      <c r="H72" s="13"/>
      <c r="I72" s="13"/>
      <c r="J72" s="13"/>
      <c r="K72" s="28"/>
    </row>
    <row r="73" spans="1:11">
      <c r="A73" s="73" t="s">
        <v>63</v>
      </c>
      <c r="B73" s="73"/>
      <c r="C73" s="8">
        <f>+C71+C68+C56+C42+C35+C21+C15+C72</f>
        <v>1</v>
      </c>
      <c r="D73" s="11">
        <v>125371315.65000001</v>
      </c>
      <c r="E73" s="8">
        <f>+E71+E68+E56+E42+E35+E21+E15+E72</f>
        <v>0.99999999999999989</v>
      </c>
      <c r="F73" s="11">
        <f>5982240/10</f>
        <v>598224</v>
      </c>
      <c r="G73" s="11">
        <f>SUM(G3:G72)</f>
        <v>187890.32171717167</v>
      </c>
      <c r="H73" s="11"/>
      <c r="I73" s="11"/>
      <c r="J73" s="11"/>
      <c r="K73" s="11">
        <f>SUM(K3:K72)</f>
        <v>7219140628.1613817</v>
      </c>
    </row>
    <row r="75" spans="1:11">
      <c r="F75" s="2">
        <f>+F73/10</f>
        <v>59822.400000000001</v>
      </c>
    </row>
    <row r="77" spans="1:11">
      <c r="I77" s="33">
        <v>44927</v>
      </c>
      <c r="K77" s="30">
        <v>3937614105.4899998</v>
      </c>
    </row>
    <row r="78" spans="1:11">
      <c r="I78" s="33">
        <v>44958</v>
      </c>
      <c r="K78" s="30">
        <v>5342510354.25</v>
      </c>
    </row>
    <row r="79" spans="1:11">
      <c r="I79" s="9" t="s">
        <v>64</v>
      </c>
      <c r="K79" s="30">
        <v>71171785264.258301</v>
      </c>
    </row>
    <row r="80" spans="1:11">
      <c r="K80" s="34">
        <f>SUM(K77:K79)</f>
        <v>80451909723.998306</v>
      </c>
    </row>
    <row r="81" spans="11:11">
      <c r="K81" s="30">
        <v>80451909723.998306</v>
      </c>
    </row>
    <row r="82" spans="11:11">
      <c r="K82" s="35">
        <f>+K81/1000000000</f>
        <v>80.451909723998313</v>
      </c>
    </row>
  </sheetData>
  <mergeCells count="10">
    <mergeCell ref="A43:A56"/>
    <mergeCell ref="A57:A68"/>
    <mergeCell ref="A69:A71"/>
    <mergeCell ref="A73:B73"/>
    <mergeCell ref="A2:B2"/>
    <mergeCell ref="A3:A15"/>
    <mergeCell ref="A16:A21"/>
    <mergeCell ref="A22:A35"/>
    <mergeCell ref="A37:B37"/>
    <mergeCell ref="A38:A4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82"/>
  <sheetViews>
    <sheetView topLeftCell="A64" workbookViewId="0">
      <selection activeCell="K79" sqref="K79"/>
    </sheetView>
  </sheetViews>
  <sheetFormatPr defaultColWidth="8.85546875" defaultRowHeight="15"/>
  <cols>
    <col min="1" max="1" width="13.28515625" style="2" bestFit="1" customWidth="1"/>
    <col min="2" max="2" width="23.85546875" style="2" bestFit="1" customWidth="1"/>
    <col min="3" max="3" width="15.28515625" style="2" customWidth="1"/>
    <col min="4" max="4" width="17.7109375" style="2" bestFit="1" customWidth="1"/>
    <col min="5" max="5" width="8.7109375" style="2" bestFit="1" customWidth="1"/>
    <col min="6" max="6" width="14.5703125" style="2" bestFit="1" customWidth="1"/>
    <col min="7" max="7" width="13.28515625" style="2" bestFit="1" customWidth="1"/>
    <col min="8" max="8" width="11.7109375" style="9" bestFit="1" customWidth="1"/>
    <col min="9" max="9" width="11.42578125" style="9" bestFit="1" customWidth="1"/>
    <col min="10" max="10" width="11.5703125" style="9" bestFit="1" customWidth="1"/>
    <col min="11" max="11" width="17.5703125" style="30" bestFit="1" customWidth="1"/>
    <col min="12" max="12" width="17.42578125" style="2" bestFit="1" customWidth="1"/>
    <col min="13" max="16384" width="8.85546875" style="2"/>
  </cols>
  <sheetData>
    <row r="2" spans="1:13" ht="57">
      <c r="A2" s="70" t="s">
        <v>0</v>
      </c>
      <c r="B2" s="70"/>
      <c r="C2" s="16" t="s">
        <v>67</v>
      </c>
      <c r="D2" s="17" t="s">
        <v>66</v>
      </c>
      <c r="E2" s="17" t="s">
        <v>71</v>
      </c>
      <c r="F2" s="16" t="s">
        <v>68</v>
      </c>
      <c r="G2" s="16" t="s">
        <v>77</v>
      </c>
      <c r="H2" s="19" t="s">
        <v>65</v>
      </c>
      <c r="I2" s="20" t="s">
        <v>69</v>
      </c>
      <c r="J2" s="20" t="s">
        <v>74</v>
      </c>
      <c r="K2" s="29" t="s">
        <v>70</v>
      </c>
    </row>
    <row r="3" spans="1:13">
      <c r="A3" s="66" t="s">
        <v>1</v>
      </c>
      <c r="B3" s="3" t="s">
        <v>2</v>
      </c>
      <c r="C3" s="4">
        <v>3.5558775430114581E-3</v>
      </c>
      <c r="D3" s="12" t="e">
        <f t="shared" ref="D3:D9" si="0">C3*$D$73</f>
        <v>#REF!</v>
      </c>
      <c r="E3" s="4">
        <v>9.5507672007863934E-2</v>
      </c>
      <c r="F3" s="10">
        <f>E3*$F$73</f>
        <v>57134.981579232393</v>
      </c>
      <c r="G3" s="10"/>
      <c r="H3" s="13">
        <v>30</v>
      </c>
      <c r="I3" s="13">
        <v>400</v>
      </c>
      <c r="J3" s="13"/>
      <c r="K3" s="28" t="e">
        <f>+D3*H3+F3*I3</f>
        <v>#REF!</v>
      </c>
    </row>
    <row r="4" spans="1:13">
      <c r="A4" s="66"/>
      <c r="B4" s="3" t="s">
        <v>3</v>
      </c>
      <c r="C4" s="4">
        <v>1.6466229832483248E-2</v>
      </c>
      <c r="D4" s="10" t="e">
        <f t="shared" si="0"/>
        <v>#REF!</v>
      </c>
      <c r="E4" s="4">
        <v>8.0007585013452218E-2</v>
      </c>
      <c r="F4" s="10">
        <f t="shared" ref="F4:F9" si="1">E4*$F$73</f>
        <v>47862.457537087437</v>
      </c>
      <c r="G4" s="10"/>
      <c r="H4" s="13">
        <v>37</v>
      </c>
      <c r="I4" s="13">
        <v>550</v>
      </c>
      <c r="J4" s="13"/>
      <c r="K4" s="28" t="e">
        <f t="shared" ref="K4:K8" si="2">+D4*H4+F4*I4</f>
        <v>#REF!</v>
      </c>
    </row>
    <row r="5" spans="1:13">
      <c r="A5" s="66"/>
      <c r="B5" s="3" t="s">
        <v>4</v>
      </c>
      <c r="C5" s="4">
        <v>4.5283724543501325E-2</v>
      </c>
      <c r="D5" s="10" t="e">
        <f t="shared" si="0"/>
        <v>#REF!</v>
      </c>
      <c r="E5" s="4">
        <v>0.13619449188479033</v>
      </c>
      <c r="F5" s="10">
        <f t="shared" si="1"/>
        <v>81474.813713286814</v>
      </c>
      <c r="G5" s="10"/>
      <c r="H5" s="13">
        <v>42</v>
      </c>
      <c r="I5" s="13">
        <v>650</v>
      </c>
      <c r="J5" s="13"/>
      <c r="K5" s="28" t="e">
        <f>+D5*H5+F5*I5</f>
        <v>#REF!</v>
      </c>
    </row>
    <row r="6" spans="1:13">
      <c r="A6" s="66"/>
      <c r="B6" s="3" t="s">
        <v>5</v>
      </c>
      <c r="C6" s="4">
        <v>6.5438743506242986E-2</v>
      </c>
      <c r="D6" s="10" t="e">
        <f t="shared" si="0"/>
        <v>#REF!</v>
      </c>
      <c r="E6" s="4">
        <v>0.14392551784959126</v>
      </c>
      <c r="F6" s="10">
        <f t="shared" si="1"/>
        <v>86099.698990053876</v>
      </c>
      <c r="G6" s="10"/>
      <c r="H6" s="13">
        <v>50</v>
      </c>
      <c r="I6" s="13">
        <v>1500</v>
      </c>
      <c r="J6" s="13"/>
      <c r="K6" s="28" t="e">
        <f t="shared" si="2"/>
        <v>#REF!</v>
      </c>
    </row>
    <row r="7" spans="1:13">
      <c r="A7" s="66"/>
      <c r="B7" s="3" t="s">
        <v>6</v>
      </c>
      <c r="C7" s="4">
        <v>0.1196118303164963</v>
      </c>
      <c r="D7" s="10" t="e">
        <f t="shared" si="0"/>
        <v>#REF!</v>
      </c>
      <c r="E7" s="4">
        <v>0.18885681474558089</v>
      </c>
      <c r="F7" s="10">
        <f t="shared" si="1"/>
        <v>112978.67914436039</v>
      </c>
      <c r="G7" s="10"/>
      <c r="H7" s="13">
        <v>50</v>
      </c>
      <c r="I7" s="13">
        <v>1500</v>
      </c>
      <c r="J7" s="13"/>
      <c r="K7" s="28" t="e">
        <f t="shared" si="2"/>
        <v>#REF!</v>
      </c>
    </row>
    <row r="8" spans="1:13">
      <c r="A8" s="66"/>
      <c r="B8" s="3" t="s">
        <v>7</v>
      </c>
      <c r="C8" s="4">
        <v>0.18632746915167234</v>
      </c>
      <c r="D8" s="10" t="e">
        <f t="shared" si="0"/>
        <v>#REF!</v>
      </c>
      <c r="E8" s="4">
        <v>0.1476262649417017</v>
      </c>
      <c r="F8" s="10">
        <f t="shared" si="1"/>
        <v>88313.574718484553</v>
      </c>
      <c r="G8" s="10"/>
      <c r="H8" s="13">
        <v>75</v>
      </c>
      <c r="I8" s="13">
        <v>2000</v>
      </c>
      <c r="J8" s="13"/>
      <c r="K8" s="28" t="e">
        <f t="shared" si="2"/>
        <v>#REF!</v>
      </c>
    </row>
    <row r="9" spans="1:13">
      <c r="A9" s="66"/>
      <c r="B9" s="1" t="s">
        <v>8</v>
      </c>
      <c r="C9" s="5">
        <f>SUM(C3:C8)</f>
        <v>0.43668387489340765</v>
      </c>
      <c r="D9" s="15" t="e">
        <f t="shared" si="0"/>
        <v>#REF!</v>
      </c>
      <c r="E9" s="5">
        <f>SUM(E3:E8)</f>
        <v>0.7921183464429804</v>
      </c>
      <c r="F9" s="10">
        <f t="shared" si="1"/>
        <v>473864.2056825055</v>
      </c>
      <c r="G9" s="10"/>
      <c r="H9" s="13"/>
      <c r="I9" s="13"/>
      <c r="J9" s="13"/>
      <c r="K9" s="28"/>
    </row>
    <row r="10" spans="1:13" ht="7.9" customHeight="1">
      <c r="A10" s="66"/>
      <c r="B10" s="3"/>
      <c r="C10" s="4"/>
      <c r="D10" s="10"/>
      <c r="E10" s="10"/>
      <c r="F10" s="10"/>
      <c r="G10" s="10"/>
      <c r="H10" s="13"/>
      <c r="I10" s="13"/>
      <c r="J10" s="13"/>
      <c r="K10" s="28"/>
    </row>
    <row r="11" spans="1:13">
      <c r="A11" s="66"/>
      <c r="B11" s="3" t="s">
        <v>9</v>
      </c>
      <c r="C11" s="4">
        <v>2.6708681928241772E-4</v>
      </c>
      <c r="D11" s="10" t="e">
        <f t="shared" ref="D11:D24" si="3">C11*$D$73</f>
        <v>#REF!</v>
      </c>
      <c r="E11" s="10"/>
      <c r="F11" s="10">
        <f t="shared" ref="F11:F24" si="4">E11*$F$73</f>
        <v>0</v>
      </c>
      <c r="G11" s="10"/>
      <c r="H11" s="13">
        <v>70</v>
      </c>
      <c r="I11" s="13"/>
      <c r="J11" s="13"/>
      <c r="K11" s="28" t="e">
        <f>D11*H11</f>
        <v>#REF!</v>
      </c>
    </row>
    <row r="12" spans="1:13">
      <c r="A12" s="66"/>
      <c r="B12" s="3" t="s">
        <v>10</v>
      </c>
      <c r="C12" s="4">
        <v>1.0434447101721564E-4</v>
      </c>
      <c r="D12" s="10" t="e">
        <f t="shared" si="3"/>
        <v>#REF!</v>
      </c>
      <c r="E12" s="10"/>
      <c r="F12" s="10">
        <f t="shared" si="4"/>
        <v>0</v>
      </c>
      <c r="G12" s="10"/>
      <c r="H12" s="13">
        <v>90</v>
      </c>
      <c r="I12" s="13"/>
      <c r="J12" s="13"/>
      <c r="K12" s="28" t="e">
        <f t="shared" ref="K12:K13" si="5">D12*H12</f>
        <v>#REF!</v>
      </c>
    </row>
    <row r="13" spans="1:13">
      <c r="A13" s="66"/>
      <c r="B13" s="3" t="s">
        <v>11</v>
      </c>
      <c r="C13" s="4">
        <v>2.5902277724177097E-4</v>
      </c>
      <c r="D13" s="10" t="e">
        <f t="shared" si="3"/>
        <v>#REF!</v>
      </c>
      <c r="E13" s="10"/>
      <c r="F13" s="10">
        <f t="shared" si="4"/>
        <v>0</v>
      </c>
      <c r="G13" s="10"/>
      <c r="H13" s="13">
        <v>40</v>
      </c>
      <c r="I13" s="13"/>
      <c r="J13" s="13"/>
      <c r="K13" s="28" t="e">
        <f t="shared" si="5"/>
        <v>#REF!</v>
      </c>
    </row>
    <row r="14" spans="1:13">
      <c r="A14" s="66"/>
      <c r="B14" s="1" t="s">
        <v>12</v>
      </c>
      <c r="C14" s="5">
        <f>SUM(C11:C13)</f>
        <v>6.3045406754140435E-4</v>
      </c>
      <c r="D14" s="15" t="e">
        <f t="shared" si="3"/>
        <v>#REF!</v>
      </c>
      <c r="E14" s="5">
        <v>2.8271698441639835E-4</v>
      </c>
      <c r="F14" s="10">
        <f t="shared" si="4"/>
        <v>169.12808528551548</v>
      </c>
      <c r="G14" s="10"/>
      <c r="H14" s="13"/>
      <c r="I14" s="13">
        <v>2000</v>
      </c>
      <c r="J14" s="13"/>
      <c r="K14" s="28">
        <f>+F14*I14</f>
        <v>338256.17057103099</v>
      </c>
      <c r="L14" s="36" t="e">
        <f>SUM(K3:K14)</f>
        <v>#REF!</v>
      </c>
      <c r="M14" s="37" t="e">
        <f>+L14/D15</f>
        <v>#REF!</v>
      </c>
    </row>
    <row r="15" spans="1:13">
      <c r="A15" s="66"/>
      <c r="B15" s="6" t="s">
        <v>13</v>
      </c>
      <c r="C15" s="7">
        <f>+C9+C14</f>
        <v>0.43731432896094907</v>
      </c>
      <c r="D15" s="14" t="e">
        <f t="shared" si="3"/>
        <v>#REF!</v>
      </c>
      <c r="E15" s="7">
        <f>+E9+E14</f>
        <v>0.7924010634273968</v>
      </c>
      <c r="F15" s="10">
        <f t="shared" si="4"/>
        <v>474033.33376779105</v>
      </c>
      <c r="G15" s="10"/>
      <c r="H15" s="13"/>
      <c r="I15" s="13"/>
      <c r="J15" s="13"/>
      <c r="K15" s="28"/>
    </row>
    <row r="16" spans="1:13">
      <c r="A16" s="66" t="s">
        <v>14</v>
      </c>
      <c r="B16" s="3" t="s">
        <v>2</v>
      </c>
      <c r="C16" s="4">
        <v>4.6690624036428585E-5</v>
      </c>
      <c r="D16" s="10" t="e">
        <f t="shared" si="3"/>
        <v>#REF!</v>
      </c>
      <c r="E16" s="4">
        <v>9.6753362131280385E-4</v>
      </c>
      <c r="F16" s="10">
        <f t="shared" si="4"/>
        <v>578.80183307623076</v>
      </c>
      <c r="G16" s="10"/>
      <c r="H16" s="13">
        <v>30</v>
      </c>
      <c r="I16" s="13">
        <v>400</v>
      </c>
      <c r="J16" s="13"/>
      <c r="K16" s="28" t="e">
        <f>D16*H16+F16*I16</f>
        <v>#REF!</v>
      </c>
    </row>
    <row r="17" spans="1:12">
      <c r="A17" s="66"/>
      <c r="B17" s="3" t="s">
        <v>15</v>
      </c>
      <c r="C17" s="4">
        <v>1.5483431161675371E-4</v>
      </c>
      <c r="D17" s="10" t="e">
        <f t="shared" si="3"/>
        <v>#REF!</v>
      </c>
      <c r="E17" s="4">
        <v>6.2498118198869618E-4</v>
      </c>
      <c r="F17" s="10">
        <f t="shared" si="4"/>
        <v>373.87874261400577</v>
      </c>
      <c r="G17" s="10"/>
      <c r="H17" s="13">
        <v>37</v>
      </c>
      <c r="I17" s="13">
        <v>550</v>
      </c>
      <c r="J17" s="13"/>
      <c r="K17" s="28" t="e">
        <f t="shared" ref="K17:K20" si="6">D17*H17+F17*I17</f>
        <v>#REF!</v>
      </c>
    </row>
    <row r="18" spans="1:12">
      <c r="A18" s="66"/>
      <c r="B18" s="3" t="s">
        <v>5</v>
      </c>
      <c r="C18" s="4">
        <v>1.0024177210309812E-4</v>
      </c>
      <c r="D18" s="10" t="e">
        <f t="shared" si="3"/>
        <v>#REF!</v>
      </c>
      <c r="E18" s="4">
        <v>2.1817251036004284E-4</v>
      </c>
      <c r="F18" s="10">
        <f t="shared" si="4"/>
        <v>130.51603183762626</v>
      </c>
      <c r="G18" s="10"/>
      <c r="H18" s="13">
        <v>42</v>
      </c>
      <c r="I18" s="13">
        <v>650</v>
      </c>
      <c r="J18" s="13"/>
      <c r="K18" s="28" t="e">
        <f t="shared" si="6"/>
        <v>#REF!</v>
      </c>
    </row>
    <row r="19" spans="1:12">
      <c r="A19" s="66"/>
      <c r="B19" s="3" t="s">
        <v>6</v>
      </c>
      <c r="C19" s="4">
        <v>2.559826324273868E-4</v>
      </c>
      <c r="D19" s="10" t="e">
        <f t="shared" si="3"/>
        <v>#REF!</v>
      </c>
      <c r="E19" s="4">
        <v>3.8671685659442929E-4</v>
      </c>
      <c r="F19" s="10">
        <f t="shared" si="4"/>
        <v>231.34330481934586</v>
      </c>
      <c r="G19" s="10"/>
      <c r="H19" s="13">
        <v>45</v>
      </c>
      <c r="I19" s="13">
        <v>1500</v>
      </c>
      <c r="J19" s="13"/>
      <c r="K19" s="28" t="e">
        <f t="shared" si="6"/>
        <v>#REF!</v>
      </c>
    </row>
    <row r="20" spans="1:12">
      <c r="A20" s="66"/>
      <c r="B20" s="3" t="s">
        <v>7</v>
      </c>
      <c r="C20" s="4">
        <v>5.8218854483512855E-3</v>
      </c>
      <c r="D20" s="10" t="e">
        <f t="shared" si="3"/>
        <v>#REF!</v>
      </c>
      <c r="E20" s="4">
        <v>2.0803009404469254E-3</v>
      </c>
      <c r="F20" s="10">
        <f t="shared" si="4"/>
        <v>1244.4859497979214</v>
      </c>
      <c r="G20" s="10"/>
      <c r="H20" s="13">
        <v>50</v>
      </c>
      <c r="I20" s="13">
        <v>2000</v>
      </c>
      <c r="J20" s="13"/>
      <c r="K20" s="28" t="e">
        <f t="shared" si="6"/>
        <v>#REF!</v>
      </c>
    </row>
    <row r="21" spans="1:12">
      <c r="A21" s="66"/>
      <c r="B21" s="6" t="s">
        <v>16</v>
      </c>
      <c r="C21" s="7">
        <f>SUM(C16:C20)</f>
        <v>6.379634788534953E-3</v>
      </c>
      <c r="D21" s="14" t="e">
        <f t="shared" si="3"/>
        <v>#REF!</v>
      </c>
      <c r="E21" s="7">
        <f>SUM(E16:E20)</f>
        <v>4.2777051107028979E-3</v>
      </c>
      <c r="F21" s="10">
        <f t="shared" si="4"/>
        <v>2559.0258621451303</v>
      </c>
      <c r="G21" s="10"/>
      <c r="H21" s="13"/>
      <c r="I21" s="13"/>
      <c r="J21" s="13"/>
      <c r="K21" s="28"/>
    </row>
    <row r="22" spans="1:12">
      <c r="A22" s="72" t="s">
        <v>17</v>
      </c>
      <c r="B22" s="3" t="s">
        <v>18</v>
      </c>
      <c r="C22" s="4">
        <v>2.1694521116174075E-2</v>
      </c>
      <c r="D22" s="10" t="e">
        <f t="shared" si="3"/>
        <v>#REF!</v>
      </c>
      <c r="E22" s="4">
        <v>7.2488667081017505E-2</v>
      </c>
      <c r="F22" s="10">
        <f t="shared" si="4"/>
        <v>43364.460375874616</v>
      </c>
      <c r="G22" s="10"/>
      <c r="H22" s="13">
        <v>40</v>
      </c>
      <c r="I22" s="13">
        <v>1000</v>
      </c>
      <c r="J22" s="13"/>
      <c r="K22" s="28" t="e">
        <f>+D22*H22+F22*I22</f>
        <v>#REF!</v>
      </c>
    </row>
    <row r="23" spans="1:12">
      <c r="A23" s="72"/>
      <c r="B23" s="3" t="s">
        <v>19</v>
      </c>
      <c r="C23" s="4">
        <v>0.1652369033705034</v>
      </c>
      <c r="D23" s="10" t="e">
        <f t="shared" si="3"/>
        <v>#REF!</v>
      </c>
      <c r="E23" s="4">
        <v>7.9061079551271007E-2</v>
      </c>
      <c r="F23" s="10">
        <f t="shared" si="4"/>
        <v>47296.23525347955</v>
      </c>
      <c r="G23" s="10"/>
      <c r="H23" s="13">
        <v>47</v>
      </c>
      <c r="I23" s="13">
        <v>1600</v>
      </c>
      <c r="J23" s="13"/>
      <c r="K23" s="28" t="e">
        <f>+D23*H23+F23*I23</f>
        <v>#REF!</v>
      </c>
    </row>
    <row r="24" spans="1:12">
      <c r="A24" s="72"/>
      <c r="B24" s="1" t="s">
        <v>20</v>
      </c>
      <c r="C24" s="5">
        <f>SUM(C22:C23)</f>
        <v>0.18693142448667746</v>
      </c>
      <c r="D24" s="10" t="e">
        <f t="shared" si="3"/>
        <v>#REF!</v>
      </c>
      <c r="E24" s="5">
        <f>SUM(E22:E23)</f>
        <v>0.15154974663228851</v>
      </c>
      <c r="F24" s="10">
        <f t="shared" si="4"/>
        <v>90660.695629354159</v>
      </c>
      <c r="G24" s="10"/>
      <c r="H24" s="13"/>
      <c r="I24" s="13"/>
      <c r="J24" s="13"/>
      <c r="K24" s="28"/>
    </row>
    <row r="25" spans="1:12" ht="7.9" customHeight="1">
      <c r="A25" s="72"/>
      <c r="B25" s="3"/>
      <c r="C25" s="4"/>
      <c r="D25" s="10"/>
      <c r="E25" s="10"/>
      <c r="F25" s="10"/>
      <c r="G25" s="10"/>
      <c r="H25" s="13"/>
      <c r="I25" s="13"/>
      <c r="J25" s="13"/>
      <c r="K25" s="28"/>
    </row>
    <row r="26" spans="1:12">
      <c r="A26" s="72"/>
      <c r="B26" s="3" t="s">
        <v>21</v>
      </c>
      <c r="C26" s="4">
        <v>8.1084170862314425E-2</v>
      </c>
      <c r="D26" s="10" t="e">
        <f>C26*$D$73</f>
        <v>#REF!</v>
      </c>
      <c r="E26" s="10"/>
      <c r="F26" s="10">
        <f>E26*$F$73</f>
        <v>0</v>
      </c>
      <c r="G26" s="10"/>
      <c r="H26" s="13">
        <v>47</v>
      </c>
      <c r="I26" s="13"/>
      <c r="J26" s="13"/>
      <c r="K26" s="28" t="e">
        <f>+D26*H26</f>
        <v>#REF!</v>
      </c>
    </row>
    <row r="27" spans="1:12">
      <c r="A27" s="72"/>
      <c r="B27" s="3" t="s">
        <v>22</v>
      </c>
      <c r="C27" s="4">
        <v>2.1519953157815179E-2</v>
      </c>
      <c r="D27" s="10" t="e">
        <f>C27*$D$73</f>
        <v>#REF!</v>
      </c>
      <c r="E27" s="10"/>
      <c r="F27" s="10">
        <f>E27*$F$73</f>
        <v>0</v>
      </c>
      <c r="G27" s="10"/>
      <c r="H27" s="13">
        <v>55</v>
      </c>
      <c r="I27" s="13"/>
      <c r="J27" s="13"/>
      <c r="K27" s="28" t="e">
        <f t="shared" ref="K27:K28" si="7">+D27*H27</f>
        <v>#REF!</v>
      </c>
    </row>
    <row r="28" spans="1:12">
      <c r="A28" s="72"/>
      <c r="B28" s="3" t="s">
        <v>23</v>
      </c>
      <c r="C28" s="4">
        <v>2.2176891405672056E-2</v>
      </c>
      <c r="D28" s="10" t="e">
        <f>C28*$D$73</f>
        <v>#REF!</v>
      </c>
      <c r="E28" s="10"/>
      <c r="F28" s="10">
        <f>E28*$F$73</f>
        <v>0</v>
      </c>
      <c r="G28" s="10"/>
      <c r="H28" s="13">
        <v>39</v>
      </c>
      <c r="I28" s="13"/>
      <c r="J28" s="13"/>
      <c r="K28" s="28" t="e">
        <f t="shared" si="7"/>
        <v>#REF!</v>
      </c>
    </row>
    <row r="29" spans="1:12">
      <c r="A29" s="72"/>
      <c r="B29" s="1" t="s">
        <v>24</v>
      </c>
      <c r="C29" s="5">
        <f>SUM(C26:C28)</f>
        <v>0.12478101542580167</v>
      </c>
      <c r="D29" s="10" t="e">
        <f>C29*$D$73</f>
        <v>#REF!</v>
      </c>
      <c r="E29" s="4">
        <v>2.2745935450066211E-3</v>
      </c>
      <c r="F29" s="10">
        <f>E29*$F$73</f>
        <v>1360.716448868041</v>
      </c>
      <c r="G29" s="26">
        <v>770758.21212121216</v>
      </c>
      <c r="H29" s="13"/>
      <c r="I29" s="13">
        <v>5000</v>
      </c>
      <c r="J29" s="13">
        <v>1600</v>
      </c>
      <c r="K29" s="28">
        <f>+F29*I29+G29*J29</f>
        <v>1240016721.6382797</v>
      </c>
      <c r="L29" s="27" t="s">
        <v>78</v>
      </c>
    </row>
    <row r="30" spans="1:12" ht="7.9" customHeight="1">
      <c r="A30" s="72"/>
      <c r="B30" s="3"/>
      <c r="C30" s="4"/>
      <c r="D30" s="10"/>
      <c r="E30" s="4"/>
      <c r="F30" s="10"/>
      <c r="G30" s="10"/>
      <c r="H30" s="13"/>
      <c r="I30" s="13"/>
      <c r="J30" s="13"/>
      <c r="K30" s="28"/>
    </row>
    <row r="31" spans="1:12">
      <c r="A31" s="72"/>
      <c r="B31" s="3" t="s">
        <v>25</v>
      </c>
      <c r="C31" s="4">
        <v>2.988370333716496E-3</v>
      </c>
      <c r="D31" s="10" t="e">
        <f t="shared" ref="D31:D38" si="8">C31*$D$73</f>
        <v>#REF!</v>
      </c>
      <c r="E31" s="4"/>
      <c r="F31" s="10">
        <f>E31*$F$73</f>
        <v>0</v>
      </c>
      <c r="G31" s="10"/>
      <c r="H31" s="13">
        <v>46</v>
      </c>
      <c r="I31" s="13"/>
      <c r="J31" s="13"/>
      <c r="K31" s="28" t="e">
        <f t="shared" ref="K31:K33" si="9">+D31*H31</f>
        <v>#REF!</v>
      </c>
    </row>
    <row r="32" spans="1:12">
      <c r="A32" s="72"/>
      <c r="B32" s="3" t="s">
        <v>26</v>
      </c>
      <c r="C32" s="4">
        <v>8.8005754528591848E-4</v>
      </c>
      <c r="D32" s="10" t="e">
        <f t="shared" si="8"/>
        <v>#REF!</v>
      </c>
      <c r="E32" s="4"/>
      <c r="F32" s="10">
        <f>E32*$F$73</f>
        <v>0</v>
      </c>
      <c r="G32" s="10"/>
      <c r="H32" s="13">
        <v>54</v>
      </c>
      <c r="I32" s="13"/>
      <c r="J32" s="13"/>
      <c r="K32" s="28" t="e">
        <f t="shared" si="9"/>
        <v>#REF!</v>
      </c>
    </row>
    <row r="33" spans="1:12">
      <c r="A33" s="72"/>
      <c r="B33" s="3" t="s">
        <v>27</v>
      </c>
      <c r="C33" s="4">
        <v>5.9716444039037897E-4</v>
      </c>
      <c r="D33" s="10" t="e">
        <f t="shared" si="8"/>
        <v>#REF!</v>
      </c>
      <c r="E33" s="4"/>
      <c r="F33" s="10">
        <f>E33*$F$73</f>
        <v>0</v>
      </c>
      <c r="G33" s="18"/>
      <c r="H33" s="21">
        <v>38</v>
      </c>
      <c r="I33" s="21"/>
      <c r="J33" s="21"/>
      <c r="K33" s="28" t="e">
        <f t="shared" si="9"/>
        <v>#REF!</v>
      </c>
    </row>
    <row r="34" spans="1:12">
      <c r="A34" s="72"/>
      <c r="B34" s="1" t="s">
        <v>28</v>
      </c>
      <c r="C34" s="5">
        <f>SUM(C31:C33)</f>
        <v>4.4655923193927935E-3</v>
      </c>
      <c r="D34" s="10" t="e">
        <f t="shared" si="8"/>
        <v>#REF!</v>
      </c>
      <c r="E34" s="4">
        <v>1.0181597923952834E-5</v>
      </c>
      <c r="F34" s="10">
        <f>E34*$F$73</f>
        <v>6.0908762364587599</v>
      </c>
      <c r="G34" s="26">
        <v>23565.510101010099</v>
      </c>
      <c r="H34" s="13"/>
      <c r="I34" s="13">
        <v>5000</v>
      </c>
      <c r="J34" s="13">
        <v>1500</v>
      </c>
      <c r="K34" s="28">
        <f>+F34*I34+G34*J34</f>
        <v>35378719.532697439</v>
      </c>
    </row>
    <row r="35" spans="1:12">
      <c r="A35" s="72"/>
      <c r="B35" s="6" t="s">
        <v>29</v>
      </c>
      <c r="C35" s="7">
        <f>+C24+C29+C34</f>
        <v>0.31617803223187191</v>
      </c>
      <c r="D35" s="14" t="e">
        <f t="shared" si="8"/>
        <v>#REF!</v>
      </c>
      <c r="E35" s="7">
        <f>+E24+E29+E34</f>
        <v>0.15383452177521909</v>
      </c>
      <c r="F35" s="10">
        <f>E35*$F$73</f>
        <v>92027.502954458658</v>
      </c>
      <c r="G35" s="10"/>
      <c r="H35" s="13"/>
      <c r="I35" s="13"/>
      <c r="J35" s="13"/>
      <c r="K35" s="28"/>
    </row>
    <row r="36" spans="1:12">
      <c r="A36" s="25"/>
      <c r="B36" s="1"/>
      <c r="C36" s="31"/>
      <c r="D36" s="32"/>
      <c r="E36" s="31"/>
      <c r="F36" s="10"/>
      <c r="G36" s="10"/>
      <c r="H36" s="13"/>
      <c r="I36" s="13"/>
      <c r="J36" s="13"/>
      <c r="K36" s="28"/>
    </row>
    <row r="37" spans="1:12" ht="57">
      <c r="A37" s="70" t="s">
        <v>0</v>
      </c>
      <c r="B37" s="70"/>
      <c r="C37" s="16" t="s">
        <v>67</v>
      </c>
      <c r="D37" s="17" t="s">
        <v>66</v>
      </c>
      <c r="E37" s="17" t="s">
        <v>71</v>
      </c>
      <c r="F37" s="16" t="s">
        <v>68</v>
      </c>
      <c r="G37" s="16" t="s">
        <v>77</v>
      </c>
      <c r="H37" s="19" t="s">
        <v>65</v>
      </c>
      <c r="I37" s="20" t="s">
        <v>69</v>
      </c>
      <c r="J37" s="20" t="s">
        <v>74</v>
      </c>
      <c r="K37" s="29" t="s">
        <v>70</v>
      </c>
    </row>
    <row r="38" spans="1:12">
      <c r="A38" s="66" t="s">
        <v>30</v>
      </c>
      <c r="B38" s="3" t="s">
        <v>31</v>
      </c>
      <c r="C38" s="4">
        <v>6.8085081233872308E-4</v>
      </c>
      <c r="D38" s="10" t="e">
        <f t="shared" si="8"/>
        <v>#REF!</v>
      </c>
      <c r="E38" s="4">
        <v>6.8330156117031929E-4</v>
      </c>
      <c r="F38" s="10">
        <f>E38*$F$73</f>
        <v>408.76739312955311</v>
      </c>
      <c r="G38" s="10"/>
      <c r="H38" s="13">
        <v>47</v>
      </c>
      <c r="I38" s="13">
        <v>1600</v>
      </c>
      <c r="J38" s="13"/>
      <c r="K38" s="28" t="e">
        <f>+D38*H38+F38*I38</f>
        <v>#REF!</v>
      </c>
    </row>
    <row r="39" spans="1:12" ht="7.9" customHeight="1">
      <c r="A39" s="66"/>
      <c r="B39" s="3"/>
      <c r="C39" s="4"/>
      <c r="D39" s="10"/>
      <c r="E39" s="10"/>
      <c r="F39" s="10"/>
      <c r="G39" s="10"/>
      <c r="H39" s="13"/>
      <c r="I39" s="13"/>
      <c r="J39" s="13"/>
      <c r="K39" s="28"/>
    </row>
    <row r="40" spans="1:12">
      <c r="A40" s="66"/>
      <c r="B40" s="3" t="s">
        <v>32</v>
      </c>
      <c r="C40" s="4">
        <v>9.0268562046623996E-3</v>
      </c>
      <c r="D40" s="10" t="e">
        <f t="shared" ref="D40:D45" si="10">C40*$D$73</f>
        <v>#REF!</v>
      </c>
      <c r="E40" s="4">
        <v>7.1827596425898621E-5</v>
      </c>
      <c r="F40" s="10">
        <f t="shared" ref="F40:F45" si="11">E40*$F$73</f>
        <v>42.968992044286779</v>
      </c>
      <c r="G40" s="26">
        <v>51932.974747474735</v>
      </c>
      <c r="H40" s="22">
        <v>47</v>
      </c>
      <c r="I40" s="13">
        <v>5000</v>
      </c>
      <c r="J40" s="13">
        <v>1600</v>
      </c>
      <c r="K40" s="28" t="e">
        <f>+D40*H40+F40*I40+G40*J40</f>
        <v>#REF!</v>
      </c>
      <c r="L40" s="23" t="s">
        <v>75</v>
      </c>
    </row>
    <row r="41" spans="1:12">
      <c r="A41" s="66"/>
      <c r="B41" s="3" t="s">
        <v>33</v>
      </c>
      <c r="C41" s="4">
        <v>0</v>
      </c>
      <c r="D41" s="10" t="e">
        <f t="shared" si="10"/>
        <v>#REF!</v>
      </c>
      <c r="E41" s="4">
        <v>0</v>
      </c>
      <c r="F41" s="10">
        <f t="shared" si="11"/>
        <v>0</v>
      </c>
      <c r="G41" s="10"/>
      <c r="H41" s="22">
        <v>46</v>
      </c>
      <c r="I41" s="13">
        <v>5000</v>
      </c>
      <c r="J41" s="13">
        <v>1500</v>
      </c>
      <c r="K41" s="28" t="e">
        <f>+D41*H41+F41*I41+G41*J41</f>
        <v>#REF!</v>
      </c>
      <c r="L41" s="23" t="s">
        <v>75</v>
      </c>
    </row>
    <row r="42" spans="1:12">
      <c r="A42" s="66"/>
      <c r="B42" s="6" t="s">
        <v>34</v>
      </c>
      <c r="C42" s="7">
        <f>SUM(C38:C41)</f>
        <v>9.7077070170011222E-3</v>
      </c>
      <c r="D42" s="14" t="e">
        <f t="shared" si="10"/>
        <v>#REF!</v>
      </c>
      <c r="E42" s="7">
        <f>SUM(E38:E41)</f>
        <v>7.5512915759621787E-4</v>
      </c>
      <c r="F42" s="10">
        <f t="shared" si="11"/>
        <v>451.73638517383984</v>
      </c>
      <c r="G42" s="10"/>
      <c r="H42" s="13"/>
      <c r="I42" s="13"/>
      <c r="J42" s="13"/>
      <c r="K42" s="28"/>
      <c r="L42" s="27" t="s">
        <v>78</v>
      </c>
    </row>
    <row r="43" spans="1:12">
      <c r="A43" s="66" t="s">
        <v>35</v>
      </c>
      <c r="B43" s="3" t="s">
        <v>36</v>
      </c>
      <c r="C43" s="4">
        <v>9.1303720740420872E-4</v>
      </c>
      <c r="D43" s="10" t="e">
        <f t="shared" si="10"/>
        <v>#REF!</v>
      </c>
      <c r="E43" s="4">
        <v>1.903499551940642E-3</v>
      </c>
      <c r="F43" s="10">
        <f t="shared" si="11"/>
        <v>1138.7191159601387</v>
      </c>
      <c r="G43" s="10"/>
      <c r="H43" s="13">
        <v>26</v>
      </c>
      <c r="I43" s="13">
        <v>1200</v>
      </c>
      <c r="J43" s="13"/>
      <c r="K43" s="28" t="e">
        <f t="shared" ref="K43" si="12">+D43*H43+F43*I43</f>
        <v>#REF!</v>
      </c>
    </row>
    <row r="44" spans="1:12">
      <c r="A44" s="66"/>
      <c r="B44" s="3" t="s">
        <v>37</v>
      </c>
      <c r="C44" s="4">
        <v>1.5614450955463478E-2</v>
      </c>
      <c r="D44" s="10" t="e">
        <f t="shared" si="10"/>
        <v>#REF!</v>
      </c>
      <c r="E44" s="4">
        <v>2.0163040454288274E-3</v>
      </c>
      <c r="F44" s="10">
        <f t="shared" si="11"/>
        <v>1206.2014712726148</v>
      </c>
      <c r="G44" s="10"/>
      <c r="H44" s="13">
        <v>26</v>
      </c>
      <c r="I44" s="13">
        <v>1600</v>
      </c>
      <c r="J44" s="13"/>
      <c r="K44" s="28" t="e">
        <f>+D44*H44+F44*I44</f>
        <v>#REF!</v>
      </c>
    </row>
    <row r="45" spans="1:12">
      <c r="A45" s="66"/>
      <c r="B45" s="1" t="s">
        <v>38</v>
      </c>
      <c r="C45" s="5">
        <f>SUM(C43:C44)</f>
        <v>1.6527488162867688E-2</v>
      </c>
      <c r="D45" s="10" t="e">
        <f t="shared" si="10"/>
        <v>#REF!</v>
      </c>
      <c r="E45" s="5">
        <f>SUM(E43:E44)</f>
        <v>3.9198035973694693E-3</v>
      </c>
      <c r="F45" s="10">
        <f t="shared" si="11"/>
        <v>2344.9205872327534</v>
      </c>
      <c r="G45" s="10"/>
      <c r="H45" s="13"/>
      <c r="I45" s="13"/>
      <c r="J45" s="13"/>
      <c r="K45" s="28"/>
    </row>
    <row r="46" spans="1:12" ht="7.9" customHeight="1">
      <c r="A46" s="66"/>
      <c r="B46" s="3"/>
      <c r="C46" s="4"/>
      <c r="D46" s="10"/>
      <c r="E46" s="10"/>
      <c r="F46" s="10"/>
      <c r="G46" s="10"/>
      <c r="H46" s="13"/>
      <c r="I46" s="13"/>
      <c r="J46" s="13"/>
      <c r="K46" s="28"/>
    </row>
    <row r="47" spans="1:12">
      <c r="A47" s="66"/>
      <c r="B47" s="3" t="s">
        <v>39</v>
      </c>
      <c r="C47" s="4">
        <v>8.8497425117339878E-2</v>
      </c>
      <c r="D47" s="10" t="e">
        <f>C47*$D$73</f>
        <v>#REF!</v>
      </c>
      <c r="E47" s="10"/>
      <c r="F47" s="10">
        <f>E47*$F$73</f>
        <v>0</v>
      </c>
      <c r="G47" s="10"/>
      <c r="H47" s="13">
        <v>37</v>
      </c>
      <c r="I47" s="13"/>
      <c r="J47" s="13"/>
      <c r="K47" s="28" t="e">
        <f t="shared" ref="K47:K49" si="13">+D47*H47</f>
        <v>#REF!</v>
      </c>
    </row>
    <row r="48" spans="1:12">
      <c r="A48" s="66"/>
      <c r="B48" s="3" t="s">
        <v>40</v>
      </c>
      <c r="C48" s="4">
        <v>1.8511263260483236E-2</v>
      </c>
      <c r="D48" s="10" t="e">
        <f>C48*$D$73</f>
        <v>#REF!</v>
      </c>
      <c r="E48" s="10"/>
      <c r="F48" s="10">
        <f>E48*$F$73</f>
        <v>0</v>
      </c>
      <c r="G48" s="10"/>
      <c r="H48" s="13">
        <v>40</v>
      </c>
      <c r="I48" s="13"/>
      <c r="J48" s="13"/>
      <c r="K48" s="28" t="e">
        <f t="shared" si="13"/>
        <v>#REF!</v>
      </c>
    </row>
    <row r="49" spans="1:12">
      <c r="A49" s="66"/>
      <c r="B49" s="3" t="s">
        <v>41</v>
      </c>
      <c r="C49" s="4">
        <v>2.6626220605934496E-2</v>
      </c>
      <c r="D49" s="10" t="e">
        <f>C49*$D$73</f>
        <v>#REF!</v>
      </c>
      <c r="E49" s="10"/>
      <c r="F49" s="10">
        <f>E49*$F$73</f>
        <v>0</v>
      </c>
      <c r="G49" s="10"/>
      <c r="H49" s="13">
        <v>34</v>
      </c>
      <c r="I49" s="13"/>
      <c r="J49" s="13"/>
      <c r="K49" s="28" t="e">
        <f t="shared" si="13"/>
        <v>#REF!</v>
      </c>
    </row>
    <row r="50" spans="1:12">
      <c r="A50" s="66"/>
      <c r="B50" s="1" t="s">
        <v>42</v>
      </c>
      <c r="C50" s="5">
        <f>SUM(C47:C49)</f>
        <v>0.1336349089837576</v>
      </c>
      <c r="D50" s="10" t="e">
        <f>C50*$D$73</f>
        <v>#REF!</v>
      </c>
      <c r="E50" s="4">
        <v>9.2290592969486603E-4</v>
      </c>
      <c r="F50" s="10">
        <f>E50*$F$73</f>
        <v>552.10447688578154</v>
      </c>
      <c r="G50" s="26">
        <v>733889.74242424231</v>
      </c>
      <c r="H50" s="13"/>
      <c r="I50" s="13">
        <v>5000</v>
      </c>
      <c r="J50" s="13">
        <v>1600</v>
      </c>
      <c r="K50" s="28">
        <f>+F50*I50+G50*J50</f>
        <v>1176984110.2632167</v>
      </c>
    </row>
    <row r="51" spans="1:12" ht="7.9" customHeight="1">
      <c r="A51" s="66"/>
      <c r="B51" s="3"/>
      <c r="C51" s="4"/>
      <c r="D51" s="10"/>
      <c r="E51" s="4"/>
      <c r="F51" s="10"/>
      <c r="G51" s="10"/>
      <c r="H51" s="13"/>
      <c r="I51" s="13"/>
      <c r="J51" s="13"/>
      <c r="K51" s="28"/>
    </row>
    <row r="52" spans="1:12">
      <c r="A52" s="66"/>
      <c r="B52" s="3" t="s">
        <v>43</v>
      </c>
      <c r="C52" s="4">
        <v>2.3025071803750966E-2</v>
      </c>
      <c r="D52" s="10" t="e">
        <f t="shared" ref="D52:D57" si="14">C52*$D$73</f>
        <v>#REF!</v>
      </c>
      <c r="E52" s="4"/>
      <c r="F52" s="10">
        <f t="shared" ref="F52:F57" si="15">E52*$F$73</f>
        <v>0</v>
      </c>
      <c r="G52" s="10"/>
      <c r="H52" s="13">
        <v>36.5</v>
      </c>
      <c r="I52" s="13"/>
      <c r="J52" s="13"/>
      <c r="K52" s="28" t="e">
        <f t="shared" ref="K52:K54" si="16">+D52*H52</f>
        <v>#REF!</v>
      </c>
    </row>
    <row r="53" spans="1:12">
      <c r="A53" s="66"/>
      <c r="B53" s="3" t="s">
        <v>44</v>
      </c>
      <c r="C53" s="4">
        <v>9.4214461082130288E-3</v>
      </c>
      <c r="D53" s="10" t="e">
        <f t="shared" si="14"/>
        <v>#REF!</v>
      </c>
      <c r="E53" s="4"/>
      <c r="F53" s="10">
        <f t="shared" si="15"/>
        <v>0</v>
      </c>
      <c r="G53" s="10"/>
      <c r="H53" s="13">
        <v>39.5</v>
      </c>
      <c r="I53" s="13"/>
      <c r="J53" s="13"/>
      <c r="K53" s="28" t="e">
        <f t="shared" si="16"/>
        <v>#REF!</v>
      </c>
    </row>
    <row r="54" spans="1:12">
      <c r="A54" s="66"/>
      <c r="B54" s="3" t="s">
        <v>45</v>
      </c>
      <c r="C54" s="4">
        <v>5.8158632487462633E-3</v>
      </c>
      <c r="D54" s="10" t="e">
        <f t="shared" si="14"/>
        <v>#REF!</v>
      </c>
      <c r="E54" s="4"/>
      <c r="F54" s="10">
        <f t="shared" si="15"/>
        <v>0</v>
      </c>
      <c r="G54" s="10"/>
      <c r="H54" s="13">
        <v>33.5</v>
      </c>
      <c r="I54" s="13"/>
      <c r="J54" s="13"/>
      <c r="K54" s="28" t="e">
        <f t="shared" si="16"/>
        <v>#REF!</v>
      </c>
    </row>
    <row r="55" spans="1:12">
      <c r="A55" s="66"/>
      <c r="B55" s="1" t="s">
        <v>46</v>
      </c>
      <c r="C55" s="5">
        <f>SUM(C52:C54)</f>
        <v>3.8262381160710263E-2</v>
      </c>
      <c r="D55" s="10" t="e">
        <f t="shared" si="14"/>
        <v>#REF!</v>
      </c>
      <c r="E55" s="4">
        <v>3.029027389630507E-5</v>
      </c>
      <c r="F55" s="10">
        <f t="shared" si="15"/>
        <v>18.120368811343205</v>
      </c>
      <c r="G55" s="26">
        <v>185889.87878787881</v>
      </c>
      <c r="H55" s="13"/>
      <c r="I55" s="13">
        <v>5000</v>
      </c>
      <c r="J55" s="13">
        <v>1500</v>
      </c>
      <c r="K55" s="28">
        <f>+F55*I55+G55*J55</f>
        <v>278925420.02587497</v>
      </c>
    </row>
    <row r="56" spans="1:12">
      <c r="A56" s="66"/>
      <c r="B56" s="6" t="s">
        <v>47</v>
      </c>
      <c r="C56" s="7">
        <f>C45+C50+C55</f>
        <v>0.18842477830733556</v>
      </c>
      <c r="D56" s="14" t="e">
        <f t="shared" si="14"/>
        <v>#REF!</v>
      </c>
      <c r="E56" s="7">
        <f>E45+E50+E55</f>
        <v>4.8729998009606409E-3</v>
      </c>
      <c r="F56" s="10">
        <f t="shared" si="15"/>
        <v>2915.1454329298786</v>
      </c>
      <c r="G56" s="10"/>
      <c r="H56" s="13"/>
      <c r="I56" s="13"/>
      <c r="J56" s="13"/>
      <c r="K56" s="28"/>
    </row>
    <row r="57" spans="1:12">
      <c r="A57" s="66" t="s">
        <v>48</v>
      </c>
      <c r="B57" s="3" t="s">
        <v>49</v>
      </c>
      <c r="C57" s="4">
        <v>2.9050410533096587E-5</v>
      </c>
      <c r="D57" s="10" t="e">
        <f t="shared" si="14"/>
        <v>#REF!</v>
      </c>
      <c r="E57" s="4">
        <v>2.7957041220096021E-6</v>
      </c>
      <c r="F57" s="10">
        <f t="shared" si="15"/>
        <v>1.6724573026850722</v>
      </c>
      <c r="G57" s="10"/>
      <c r="H57" s="22">
        <v>47</v>
      </c>
      <c r="I57" s="22">
        <v>1600</v>
      </c>
      <c r="J57" s="13"/>
      <c r="K57" s="28" t="e">
        <f>+D57*H57+F57*I57</f>
        <v>#REF!</v>
      </c>
      <c r="L57" s="23" t="s">
        <v>76</v>
      </c>
    </row>
    <row r="58" spans="1:12" ht="7.9" customHeight="1">
      <c r="A58" s="66"/>
      <c r="B58" s="3"/>
      <c r="C58" s="4"/>
      <c r="D58" s="10"/>
      <c r="E58" s="4"/>
      <c r="F58" s="10"/>
      <c r="G58" s="10"/>
      <c r="H58" s="13"/>
      <c r="I58" s="13"/>
      <c r="J58" s="13"/>
      <c r="K58" s="28"/>
    </row>
    <row r="59" spans="1:12">
      <c r="A59" s="66"/>
      <c r="B59" s="3" t="s">
        <v>50</v>
      </c>
      <c r="C59" s="4">
        <v>1.7871221050520639E-2</v>
      </c>
      <c r="D59" s="10" t="e">
        <f>C59*$D$73</f>
        <v>#REF!</v>
      </c>
      <c r="E59" s="4"/>
      <c r="F59" s="10">
        <f>E59*$F$73</f>
        <v>0</v>
      </c>
      <c r="G59" s="10"/>
      <c r="H59" s="13">
        <v>47</v>
      </c>
      <c r="I59" s="13"/>
      <c r="J59" s="13"/>
      <c r="K59" s="28" t="e">
        <f t="shared" ref="K59:K61" si="17">+D59*H59</f>
        <v>#REF!</v>
      </c>
    </row>
    <row r="60" spans="1:12">
      <c r="A60" s="66"/>
      <c r="B60" s="3" t="s">
        <v>51</v>
      </c>
      <c r="C60" s="4">
        <v>5.4758423092057997E-3</v>
      </c>
      <c r="D60" s="10" t="e">
        <f>C60*$D$73</f>
        <v>#REF!</v>
      </c>
      <c r="E60" s="4"/>
      <c r="F60" s="10">
        <f>E60*$F$73</f>
        <v>0</v>
      </c>
      <c r="G60" s="10"/>
      <c r="H60" s="13">
        <v>55</v>
      </c>
      <c r="I60" s="13"/>
      <c r="J60" s="13"/>
      <c r="K60" s="28" t="e">
        <f t="shared" si="17"/>
        <v>#REF!</v>
      </c>
    </row>
    <row r="61" spans="1:12">
      <c r="A61" s="66"/>
      <c r="B61" s="3" t="s">
        <v>52</v>
      </c>
      <c r="C61" s="4">
        <v>6.2231110180594655E-4</v>
      </c>
      <c r="D61" s="10" t="e">
        <f>C61*$D$73</f>
        <v>#REF!</v>
      </c>
      <c r="E61" s="4"/>
      <c r="F61" s="10">
        <f>E61*$F$73</f>
        <v>0</v>
      </c>
      <c r="G61" s="10"/>
      <c r="H61" s="13">
        <v>39</v>
      </c>
      <c r="I61" s="13"/>
      <c r="J61" s="13"/>
      <c r="K61" s="28" t="e">
        <f t="shared" si="17"/>
        <v>#REF!</v>
      </c>
    </row>
    <row r="62" spans="1:12">
      <c r="A62" s="66"/>
      <c r="B62" s="1" t="s">
        <v>53</v>
      </c>
      <c r="C62" s="5">
        <f>SUM(C59:C61)</f>
        <v>2.3969374461532383E-2</v>
      </c>
      <c r="D62" s="10" t="e">
        <f>C62*$D$73</f>
        <v>#REF!</v>
      </c>
      <c r="E62" s="4">
        <v>1.2760357975380299E-4</v>
      </c>
      <c r="F62" s="10">
        <f>E62*$F$73</f>
        <v>76.335523894639039</v>
      </c>
      <c r="G62" s="26">
        <v>98812.080808080806</v>
      </c>
      <c r="H62" s="13"/>
      <c r="I62" s="13">
        <v>5000</v>
      </c>
      <c r="J62" s="13">
        <v>1600</v>
      </c>
      <c r="K62" s="28">
        <f>+F62*I62+G62*J62</f>
        <v>158481006.91240248</v>
      </c>
    </row>
    <row r="63" spans="1:12" ht="7.9" customHeight="1">
      <c r="A63" s="66"/>
      <c r="B63" s="3"/>
      <c r="C63" s="4"/>
      <c r="D63" s="10"/>
      <c r="E63" s="4"/>
      <c r="F63" s="10"/>
      <c r="G63" s="10"/>
      <c r="H63" s="13"/>
      <c r="I63" s="13"/>
      <c r="J63" s="13"/>
      <c r="K63" s="28"/>
    </row>
    <row r="64" spans="1:12">
      <c r="A64" s="66"/>
      <c r="B64" s="3" t="s">
        <v>54</v>
      </c>
      <c r="C64" s="4">
        <v>2.6884917980997541E-3</v>
      </c>
      <c r="D64" s="10" t="e">
        <f t="shared" ref="D64:D70" si="18">C64*$D$73</f>
        <v>#REF!</v>
      </c>
      <c r="E64" s="4"/>
      <c r="F64" s="10">
        <f t="shared" ref="F64:F72" si="19">E64*$F$73</f>
        <v>0</v>
      </c>
      <c r="G64" s="10"/>
      <c r="H64" s="13">
        <v>46</v>
      </c>
      <c r="I64" s="13"/>
      <c r="J64" s="13"/>
      <c r="K64" s="28" t="e">
        <f t="shared" ref="K64:K66" si="20">+D64*H64</f>
        <v>#REF!</v>
      </c>
    </row>
    <row r="65" spans="1:11">
      <c r="A65" s="66"/>
      <c r="B65" s="3" t="s">
        <v>55</v>
      </c>
      <c r="C65" s="4">
        <v>8.2582660189203739E-4</v>
      </c>
      <c r="D65" s="10" t="e">
        <f t="shared" si="18"/>
        <v>#REF!</v>
      </c>
      <c r="E65" s="4"/>
      <c r="F65" s="10">
        <f t="shared" si="19"/>
        <v>0</v>
      </c>
      <c r="G65" s="10"/>
      <c r="H65" s="13">
        <v>54</v>
      </c>
      <c r="I65" s="13"/>
      <c r="J65" s="13"/>
      <c r="K65" s="28" t="e">
        <f t="shared" si="20"/>
        <v>#REF!</v>
      </c>
    </row>
    <row r="66" spans="1:11">
      <c r="A66" s="66"/>
      <c r="B66" s="3" t="s">
        <v>56</v>
      </c>
      <c r="C66" s="4">
        <v>1.3318087349629565E-3</v>
      </c>
      <c r="D66" s="10" t="e">
        <f t="shared" si="18"/>
        <v>#REF!</v>
      </c>
      <c r="E66" s="4"/>
      <c r="F66" s="10">
        <f t="shared" si="19"/>
        <v>0</v>
      </c>
      <c r="G66" s="10"/>
      <c r="H66" s="21">
        <v>38</v>
      </c>
      <c r="I66" s="21"/>
      <c r="J66" s="21"/>
      <c r="K66" s="28" t="e">
        <f t="shared" si="20"/>
        <v>#REF!</v>
      </c>
    </row>
    <row r="67" spans="1:11">
      <c r="A67" s="66"/>
      <c r="B67" s="1" t="s">
        <v>57</v>
      </c>
      <c r="C67" s="5">
        <f>SUM(C64:C66)</f>
        <v>4.8461271349547483E-3</v>
      </c>
      <c r="D67" s="10" t="e">
        <f t="shared" si="18"/>
        <v>#REF!</v>
      </c>
      <c r="E67" s="4">
        <v>3.7720327298107732E-6</v>
      </c>
      <c r="F67" s="10">
        <f t="shared" si="19"/>
        <v>2.2565205077583199</v>
      </c>
      <c r="G67" s="26">
        <v>14054.818181818182</v>
      </c>
      <c r="H67" s="13"/>
      <c r="I67" s="13">
        <v>5000</v>
      </c>
      <c r="J67" s="13">
        <v>1500</v>
      </c>
      <c r="K67" s="28">
        <f>+F67*I67+G67*J67</f>
        <v>21093509.875266064</v>
      </c>
    </row>
    <row r="68" spans="1:11">
      <c r="A68" s="66"/>
      <c r="B68" s="6" t="s">
        <v>58</v>
      </c>
      <c r="C68" s="7">
        <f>+C57+C62+C67</f>
        <v>2.8844552007020227E-2</v>
      </c>
      <c r="D68" s="14" t="e">
        <f t="shared" si="18"/>
        <v>#REF!</v>
      </c>
      <c r="E68" s="7">
        <f>+E57+E62+E67</f>
        <v>1.3417131660562338E-4</v>
      </c>
      <c r="F68" s="10">
        <f t="shared" si="19"/>
        <v>80.264501705082438</v>
      </c>
      <c r="G68" s="10"/>
      <c r="H68" s="13"/>
      <c r="I68" s="13"/>
      <c r="J68" s="13"/>
      <c r="K68" s="28"/>
    </row>
    <row r="69" spans="1:11">
      <c r="A69" s="66" t="s">
        <v>59</v>
      </c>
      <c r="B69" s="3" t="s">
        <v>60</v>
      </c>
      <c r="C69" s="4">
        <v>1.4512290865942328E-4</v>
      </c>
      <c r="D69" s="10" t="e">
        <f t="shared" si="18"/>
        <v>#REF!</v>
      </c>
      <c r="E69" s="4">
        <v>7.2066861166955167E-5</v>
      </c>
      <c r="F69" s="10">
        <f t="shared" si="19"/>
        <v>43.112125954740591</v>
      </c>
      <c r="G69" s="10"/>
      <c r="H69" s="13">
        <v>45</v>
      </c>
      <c r="I69" s="13"/>
      <c r="J69" s="13"/>
      <c r="K69" s="28" t="e">
        <f>+D69*H69</f>
        <v>#REF!</v>
      </c>
    </row>
    <row r="70" spans="1:11">
      <c r="A70" s="66"/>
      <c r="B70" s="3" t="s">
        <v>61</v>
      </c>
      <c r="C70" s="4">
        <v>1.3005843778627754E-2</v>
      </c>
      <c r="D70" s="10" t="e">
        <f t="shared" si="18"/>
        <v>#REF!</v>
      </c>
      <c r="E70" s="4">
        <v>4.4207163762985634E-3</v>
      </c>
      <c r="F70" s="10">
        <f t="shared" si="19"/>
        <v>2644.5786334948316</v>
      </c>
      <c r="G70" s="10"/>
      <c r="H70" s="13"/>
      <c r="I70" s="13"/>
      <c r="J70" s="13"/>
      <c r="K70" s="28"/>
    </row>
    <row r="71" spans="1:11">
      <c r="A71" s="66"/>
      <c r="B71" s="6" t="s">
        <v>62</v>
      </c>
      <c r="C71" s="7">
        <f>SUM(C69:C70)</f>
        <v>1.3150966687287177E-2</v>
      </c>
      <c r="D71" s="14" t="e">
        <f>C71*$D$73</f>
        <v>#REF!</v>
      </c>
      <c r="E71" s="7">
        <f>SUM(E69:E70)</f>
        <v>4.4927832374655188E-3</v>
      </c>
      <c r="F71" s="10">
        <f t="shared" si="19"/>
        <v>2687.6907594495724</v>
      </c>
      <c r="G71" s="10"/>
      <c r="H71" s="13"/>
      <c r="I71" s="13"/>
      <c r="J71" s="13"/>
      <c r="K71" s="28"/>
    </row>
    <row r="72" spans="1:11">
      <c r="A72" s="24" t="s">
        <v>72</v>
      </c>
      <c r="B72" s="6" t="s">
        <v>73</v>
      </c>
      <c r="C72" s="7">
        <v>0</v>
      </c>
      <c r="D72" s="14">
        <v>0</v>
      </c>
      <c r="E72" s="7">
        <v>3.9231626174053215E-2</v>
      </c>
      <c r="F72" s="10">
        <f t="shared" si="19"/>
        <v>23469.300336346809</v>
      </c>
      <c r="G72" s="10"/>
      <c r="H72" s="13"/>
      <c r="I72" s="13"/>
      <c r="J72" s="13"/>
      <c r="K72" s="28"/>
    </row>
    <row r="73" spans="1:11">
      <c r="A73" s="73" t="s">
        <v>63</v>
      </c>
      <c r="B73" s="73"/>
      <c r="C73" s="8">
        <f>+C71+C68+C56+C42+C35+C21+C15+C72</f>
        <v>1</v>
      </c>
      <c r="D73" s="11" t="e">
        <f>+#REF!/10</f>
        <v>#REF!</v>
      </c>
      <c r="E73" s="8">
        <f>+E71+E68+E56+E42+E35+E21+E15+E72</f>
        <v>0.99999999999999989</v>
      </c>
      <c r="F73" s="11">
        <f>5982240/10</f>
        <v>598224</v>
      </c>
      <c r="G73" s="11">
        <f>SUM(G3:G72)</f>
        <v>1878903.2171717172</v>
      </c>
      <c r="H73" s="11"/>
      <c r="I73" s="11"/>
      <c r="J73" s="11"/>
      <c r="K73" s="11" t="e">
        <f>SUM(K3:K72)</f>
        <v>#REF!</v>
      </c>
    </row>
    <row r="75" spans="1:11">
      <c r="F75" s="2">
        <f>+F73/10</f>
        <v>59822.400000000001</v>
      </c>
    </row>
    <row r="77" spans="1:11">
      <c r="I77" s="33">
        <v>44927</v>
      </c>
      <c r="K77" s="30">
        <v>3937614105.4899998</v>
      </c>
    </row>
    <row r="78" spans="1:11">
      <c r="I78" s="33">
        <v>44958</v>
      </c>
      <c r="K78" s="30">
        <v>5342510354.25</v>
      </c>
    </row>
    <row r="79" spans="1:11">
      <c r="I79" s="9" t="s">
        <v>64</v>
      </c>
      <c r="K79" s="30">
        <v>71171785264.258301</v>
      </c>
    </row>
    <row r="80" spans="1:11">
      <c r="K80" s="34">
        <f>SUM(K77:K79)</f>
        <v>80451909723.998306</v>
      </c>
    </row>
    <row r="81" spans="11:11">
      <c r="K81" s="30">
        <v>80451909723.998306</v>
      </c>
    </row>
    <row r="82" spans="11:11">
      <c r="K82" s="35">
        <f>+K81/1000000000</f>
        <v>80.451909723998313</v>
      </c>
    </row>
  </sheetData>
  <mergeCells count="10">
    <mergeCell ref="A43:A56"/>
    <mergeCell ref="A57:A68"/>
    <mergeCell ref="A69:A71"/>
    <mergeCell ref="A73:B73"/>
    <mergeCell ref="A2:B2"/>
    <mergeCell ref="A3:A15"/>
    <mergeCell ref="A16:A21"/>
    <mergeCell ref="A22:A35"/>
    <mergeCell ref="A37:B37"/>
    <mergeCell ref="A38:A4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82"/>
  <sheetViews>
    <sheetView topLeftCell="A67" workbookViewId="0">
      <selection activeCell="F73" sqref="F73"/>
    </sheetView>
  </sheetViews>
  <sheetFormatPr defaultColWidth="8.85546875" defaultRowHeight="15"/>
  <cols>
    <col min="1" max="1" width="13.28515625" style="2" bestFit="1" customWidth="1"/>
    <col min="2" max="2" width="23.85546875" style="2" bestFit="1" customWidth="1"/>
    <col min="3" max="3" width="15.28515625" style="2" customWidth="1"/>
    <col min="4" max="4" width="17.7109375" style="2" bestFit="1" customWidth="1"/>
    <col min="5" max="5" width="8.7109375" style="2" bestFit="1" customWidth="1"/>
    <col min="6" max="6" width="14.5703125" style="2" bestFit="1" customWidth="1"/>
    <col min="7" max="7" width="13.28515625" style="2" bestFit="1" customWidth="1"/>
    <col min="8" max="8" width="11.7109375" style="9" bestFit="1" customWidth="1"/>
    <col min="9" max="9" width="11.42578125" style="9" bestFit="1" customWidth="1"/>
    <col min="10" max="10" width="11.5703125" style="9" bestFit="1" customWidth="1"/>
    <col min="11" max="11" width="17.5703125" style="30" bestFit="1" customWidth="1"/>
    <col min="12" max="12" width="17.42578125" style="2" bestFit="1" customWidth="1"/>
    <col min="13" max="16384" width="8.85546875" style="2"/>
  </cols>
  <sheetData>
    <row r="2" spans="1:11" ht="57">
      <c r="A2" s="70" t="s">
        <v>0</v>
      </c>
      <c r="B2" s="70"/>
      <c r="C2" s="16" t="s">
        <v>67</v>
      </c>
      <c r="D2" s="17" t="s">
        <v>66</v>
      </c>
      <c r="E2" s="17" t="s">
        <v>71</v>
      </c>
      <c r="F2" s="16" t="s">
        <v>68</v>
      </c>
      <c r="G2" s="16" t="s">
        <v>77</v>
      </c>
      <c r="H2" s="19" t="s">
        <v>65</v>
      </c>
      <c r="I2" s="20" t="s">
        <v>69</v>
      </c>
      <c r="J2" s="20" t="s">
        <v>74</v>
      </c>
      <c r="K2" s="29" t="s">
        <v>70</v>
      </c>
    </row>
    <row r="3" spans="1:11">
      <c r="A3" s="66" t="s">
        <v>1</v>
      </c>
      <c r="B3" s="3" t="s">
        <v>2</v>
      </c>
      <c r="C3" s="4">
        <v>3.5558775430114581E-3</v>
      </c>
      <c r="D3" s="12">
        <f t="shared" ref="D3:D9" si="0">C3*$D$73</f>
        <v>4384811.0581854628</v>
      </c>
      <c r="E3" s="4">
        <v>9.5507672007863934E-2</v>
      </c>
      <c r="F3" s="10">
        <f>E3*$F$73</f>
        <v>571349.81579232391</v>
      </c>
      <c r="G3" s="10"/>
      <c r="H3" s="13">
        <v>30</v>
      </c>
      <c r="I3" s="13">
        <v>400</v>
      </c>
      <c r="J3" s="13"/>
      <c r="K3" s="28">
        <f>+D3*H3+F3*I3</f>
        <v>360084258.06249344</v>
      </c>
    </row>
    <row r="4" spans="1:11">
      <c r="A4" s="66"/>
      <c r="B4" s="3" t="s">
        <v>3</v>
      </c>
      <c r="C4" s="4">
        <v>1.6466229832483248E-2</v>
      </c>
      <c r="D4" s="10">
        <f t="shared" si="0"/>
        <v>20304778.717140216</v>
      </c>
      <c r="E4" s="4">
        <v>8.0007585013452218E-2</v>
      </c>
      <c r="F4" s="10">
        <f t="shared" ref="F4:F9" si="1">E4*$F$73</f>
        <v>478624.57537087437</v>
      </c>
      <c r="G4" s="10"/>
      <c r="H4" s="13">
        <v>37</v>
      </c>
      <c r="I4" s="13">
        <v>550</v>
      </c>
      <c r="J4" s="13"/>
      <c r="K4" s="28">
        <f t="shared" ref="K4:K8" si="2">+D4*H4+F4*I4</f>
        <v>1014520328.988169</v>
      </c>
    </row>
    <row r="5" spans="1:11">
      <c r="A5" s="66"/>
      <c r="B5" s="3" t="s">
        <v>4</v>
      </c>
      <c r="C5" s="4">
        <v>4.5283724543501325E-2</v>
      </c>
      <c r="D5" s="10">
        <f t="shared" si="0"/>
        <v>55840105.215211913</v>
      </c>
      <c r="E5" s="4">
        <v>0.13619449188479033</v>
      </c>
      <c r="F5" s="10">
        <f t="shared" si="1"/>
        <v>814748.13713286805</v>
      </c>
      <c r="G5" s="10"/>
      <c r="H5" s="13">
        <v>42</v>
      </c>
      <c r="I5" s="13">
        <v>650</v>
      </c>
      <c r="J5" s="13"/>
      <c r="K5" s="28">
        <f>+D5*H5+F5*I5</f>
        <v>2874870708.1752644</v>
      </c>
    </row>
    <row r="6" spans="1:11">
      <c r="A6" s="66"/>
      <c r="B6" s="3" t="s">
        <v>5</v>
      </c>
      <c r="C6" s="4">
        <v>6.5438743506242986E-2</v>
      </c>
      <c r="D6" s="10">
        <f t="shared" si="0"/>
        <v>80693590.453885823</v>
      </c>
      <c r="E6" s="4">
        <v>0.14392551784959126</v>
      </c>
      <c r="F6" s="10">
        <f t="shared" si="1"/>
        <v>860996.98990053881</v>
      </c>
      <c r="G6" s="10"/>
      <c r="H6" s="13">
        <v>50</v>
      </c>
      <c r="I6" s="13">
        <v>1500</v>
      </c>
      <c r="J6" s="13"/>
      <c r="K6" s="28">
        <f t="shared" si="2"/>
        <v>5326175007.5450993</v>
      </c>
    </row>
    <row r="7" spans="1:11">
      <c r="A7" s="66"/>
      <c r="B7" s="3" t="s">
        <v>6</v>
      </c>
      <c r="C7" s="4">
        <v>0.1196118303164963</v>
      </c>
      <c r="D7" s="10">
        <f t="shared" si="0"/>
        <v>147495314.42452323</v>
      </c>
      <c r="E7" s="4">
        <v>0.18885681474558089</v>
      </c>
      <c r="F7" s="10">
        <f t="shared" si="1"/>
        <v>1129786.7914436038</v>
      </c>
      <c r="G7" s="10"/>
      <c r="H7" s="13">
        <v>50</v>
      </c>
      <c r="I7" s="13">
        <v>1500</v>
      </c>
      <c r="J7" s="13"/>
      <c r="K7" s="28">
        <f t="shared" si="2"/>
        <v>9069445908.3915672</v>
      </c>
    </row>
    <row r="8" spans="1:11">
      <c r="A8" s="66"/>
      <c r="B8" s="3" t="s">
        <v>7</v>
      </c>
      <c r="C8" s="4">
        <v>0.18632746915167234</v>
      </c>
      <c r="D8" s="10">
        <f t="shared" si="0"/>
        <v>229763465.5011321</v>
      </c>
      <c r="E8" s="4">
        <v>0.1476262649417017</v>
      </c>
      <c r="F8" s="10">
        <f t="shared" si="1"/>
        <v>883135.7471848455</v>
      </c>
      <c r="G8" s="10"/>
      <c r="H8" s="13">
        <v>75</v>
      </c>
      <c r="I8" s="13">
        <v>2000</v>
      </c>
      <c r="J8" s="13"/>
      <c r="K8" s="28">
        <f t="shared" si="2"/>
        <v>18998531406.954597</v>
      </c>
    </row>
    <row r="9" spans="1:11">
      <c r="A9" s="66"/>
      <c r="B9" s="1" t="s">
        <v>8</v>
      </c>
      <c r="C9" s="5">
        <f>SUM(C3:C8)</f>
        <v>0.43668387489340765</v>
      </c>
      <c r="D9" s="15">
        <f t="shared" si="0"/>
        <v>538482065.3700788</v>
      </c>
      <c r="E9" s="5">
        <f>SUM(E3:E8)</f>
        <v>0.7921183464429804</v>
      </c>
      <c r="F9" s="10">
        <f t="shared" si="1"/>
        <v>4738642.0568250548</v>
      </c>
      <c r="G9" s="10"/>
      <c r="H9" s="13"/>
      <c r="I9" s="13"/>
      <c r="J9" s="13"/>
      <c r="K9" s="28"/>
    </row>
    <row r="10" spans="1:11" ht="7.9" customHeight="1">
      <c r="A10" s="66"/>
      <c r="B10" s="3"/>
      <c r="C10" s="4"/>
      <c r="D10" s="10"/>
      <c r="E10" s="10"/>
      <c r="F10" s="10"/>
      <c r="G10" s="10"/>
      <c r="H10" s="13"/>
      <c r="I10" s="13"/>
      <c r="J10" s="13"/>
      <c r="K10" s="28"/>
    </row>
    <row r="11" spans="1:11">
      <c r="A11" s="66"/>
      <c r="B11" s="3" t="s">
        <v>9</v>
      </c>
      <c r="C11" s="4">
        <v>2.6708681928241772E-4</v>
      </c>
      <c r="D11" s="10">
        <f t="shared" ref="D11:D24" si="3">C11*$D$73</f>
        <v>329349.14785994182</v>
      </c>
      <c r="E11" s="10"/>
      <c r="F11" s="10">
        <f t="shared" ref="F11:F24" si="4">E11*$F$73</f>
        <v>0</v>
      </c>
      <c r="G11" s="10"/>
      <c r="H11" s="13">
        <v>70</v>
      </c>
      <c r="I11" s="13"/>
      <c r="J11" s="13"/>
      <c r="K11" s="28">
        <f>D11*H11</f>
        <v>23054440.350195926</v>
      </c>
    </row>
    <row r="12" spans="1:11">
      <c r="A12" s="66"/>
      <c r="B12" s="3" t="s">
        <v>10</v>
      </c>
      <c r="C12" s="4">
        <v>1.0434447101721564E-4</v>
      </c>
      <c r="D12" s="10">
        <f t="shared" si="3"/>
        <v>128668.88267173529</v>
      </c>
      <c r="E12" s="10"/>
      <c r="F12" s="10">
        <f t="shared" si="4"/>
        <v>0</v>
      </c>
      <c r="G12" s="10"/>
      <c r="H12" s="13">
        <v>90</v>
      </c>
      <c r="I12" s="13"/>
      <c r="J12" s="13"/>
      <c r="K12" s="28">
        <f t="shared" ref="K12:K13" si="5">D12*H12</f>
        <v>11580199.440456176</v>
      </c>
    </row>
    <row r="13" spans="1:11">
      <c r="A13" s="66"/>
      <c r="B13" s="3" t="s">
        <v>11</v>
      </c>
      <c r="C13" s="4">
        <v>2.5902277724177097E-4</v>
      </c>
      <c r="D13" s="10">
        <f t="shared" si="3"/>
        <v>319405.2450438863</v>
      </c>
      <c r="E13" s="10"/>
      <c r="F13" s="10">
        <f t="shared" si="4"/>
        <v>0</v>
      </c>
      <c r="G13" s="10"/>
      <c r="H13" s="13">
        <v>40</v>
      </c>
      <c r="I13" s="13"/>
      <c r="J13" s="13"/>
      <c r="K13" s="28">
        <f t="shared" si="5"/>
        <v>12776209.801755453</v>
      </c>
    </row>
    <row r="14" spans="1:11">
      <c r="A14" s="66"/>
      <c r="B14" s="1" t="s">
        <v>12</v>
      </c>
      <c r="C14" s="5">
        <f>SUM(C11:C13)</f>
        <v>6.3045406754140435E-4</v>
      </c>
      <c r="D14" s="15">
        <f t="shared" si="3"/>
        <v>777423.27557556343</v>
      </c>
      <c r="E14" s="5">
        <v>2.8271698441639835E-4</v>
      </c>
      <c r="F14" s="10">
        <f t="shared" si="4"/>
        <v>1691.280852855155</v>
      </c>
      <c r="G14" s="10"/>
      <c r="H14" s="13"/>
      <c r="I14" s="13">
        <v>2000</v>
      </c>
      <c r="J14" s="13"/>
      <c r="K14" s="28">
        <f>+F14*I14</f>
        <v>3382561.70571031</v>
      </c>
    </row>
    <row r="15" spans="1:11">
      <c r="A15" s="66"/>
      <c r="B15" s="6" t="s">
        <v>13</v>
      </c>
      <c r="C15" s="7">
        <f>+C9+C14</f>
        <v>0.43731432896094907</v>
      </c>
      <c r="D15" s="14">
        <f t="shared" si="3"/>
        <v>539259488.64565432</v>
      </c>
      <c r="E15" s="7">
        <f>+E9+E14</f>
        <v>0.7924010634273968</v>
      </c>
      <c r="F15" s="10">
        <f t="shared" si="4"/>
        <v>4740333.33767791</v>
      </c>
      <c r="G15" s="10"/>
      <c r="H15" s="13"/>
      <c r="I15" s="13"/>
      <c r="J15" s="13"/>
      <c r="K15" s="28"/>
    </row>
    <row r="16" spans="1:11">
      <c r="A16" s="66" t="s">
        <v>14</v>
      </c>
      <c r="B16" s="3" t="s">
        <v>2</v>
      </c>
      <c r="C16" s="4">
        <v>4.6690624036428585E-5</v>
      </c>
      <c r="D16" s="10">
        <f t="shared" si="3"/>
        <v>57574.976109871146</v>
      </c>
      <c r="E16" s="4">
        <v>9.6753362131280385E-4</v>
      </c>
      <c r="F16" s="10">
        <f t="shared" si="4"/>
        <v>5788.0183307623074</v>
      </c>
      <c r="G16" s="10"/>
      <c r="H16" s="13">
        <v>30</v>
      </c>
      <c r="I16" s="13">
        <v>400</v>
      </c>
      <c r="J16" s="13"/>
      <c r="K16" s="28">
        <f>D16*H16+F16*I16</f>
        <v>4042456.6156010572</v>
      </c>
    </row>
    <row r="17" spans="1:12">
      <c r="A17" s="66"/>
      <c r="B17" s="3" t="s">
        <v>15</v>
      </c>
      <c r="C17" s="4">
        <v>1.5483431161675371E-4</v>
      </c>
      <c r="D17" s="10">
        <f t="shared" si="3"/>
        <v>190928.73518605524</v>
      </c>
      <c r="E17" s="4">
        <v>6.2498118198869618E-4</v>
      </c>
      <c r="F17" s="10">
        <f t="shared" si="4"/>
        <v>3738.787426140058</v>
      </c>
      <c r="G17" s="10"/>
      <c r="H17" s="13">
        <v>37</v>
      </c>
      <c r="I17" s="13">
        <v>550</v>
      </c>
      <c r="J17" s="13"/>
      <c r="K17" s="28">
        <f t="shared" ref="K17:K20" si="6">D17*H17+F17*I17</f>
        <v>9120696.2862610761</v>
      </c>
    </row>
    <row r="18" spans="1:12">
      <c r="A18" s="66"/>
      <c r="B18" s="3" t="s">
        <v>5</v>
      </c>
      <c r="C18" s="4">
        <v>1.0024177210309812E-4</v>
      </c>
      <c r="D18" s="10">
        <f t="shared" si="3"/>
        <v>123609.77719090012</v>
      </c>
      <c r="E18" s="4">
        <v>2.1817251036004284E-4</v>
      </c>
      <c r="F18" s="10">
        <f t="shared" si="4"/>
        <v>1305.1603183762627</v>
      </c>
      <c r="G18" s="10"/>
      <c r="H18" s="13">
        <v>42</v>
      </c>
      <c r="I18" s="13">
        <v>650</v>
      </c>
      <c r="J18" s="13"/>
      <c r="K18" s="28">
        <f t="shared" si="6"/>
        <v>6039964.8489623759</v>
      </c>
    </row>
    <row r="19" spans="1:12">
      <c r="A19" s="66"/>
      <c r="B19" s="3" t="s">
        <v>6</v>
      </c>
      <c r="C19" s="4">
        <v>2.559826324273868E-4</v>
      </c>
      <c r="D19" s="10">
        <f t="shared" si="3"/>
        <v>315656.39249220159</v>
      </c>
      <c r="E19" s="4">
        <v>3.8671685659442929E-4</v>
      </c>
      <c r="F19" s="10">
        <f t="shared" si="4"/>
        <v>2313.4330481934585</v>
      </c>
      <c r="G19" s="10"/>
      <c r="H19" s="13">
        <v>45</v>
      </c>
      <c r="I19" s="13">
        <v>1500</v>
      </c>
      <c r="J19" s="13"/>
      <c r="K19" s="28">
        <f t="shared" si="6"/>
        <v>17674687.234439261</v>
      </c>
    </row>
    <row r="20" spans="1:12">
      <c r="A20" s="66"/>
      <c r="B20" s="3" t="s">
        <v>7</v>
      </c>
      <c r="C20" s="4">
        <v>5.8218854483512855E-3</v>
      </c>
      <c r="D20" s="10">
        <f t="shared" si="3"/>
        <v>7179062.6602400653</v>
      </c>
      <c r="E20" s="4">
        <v>2.0803009404469254E-3</v>
      </c>
      <c r="F20" s="10">
        <f t="shared" si="4"/>
        <v>12444.859497979214</v>
      </c>
      <c r="G20" s="10"/>
      <c r="H20" s="13">
        <v>50</v>
      </c>
      <c r="I20" s="13">
        <v>2000</v>
      </c>
      <c r="J20" s="13"/>
      <c r="K20" s="28">
        <f t="shared" si="6"/>
        <v>383842852.00796169</v>
      </c>
    </row>
    <row r="21" spans="1:12">
      <c r="A21" s="66"/>
      <c r="B21" s="6" t="s">
        <v>16</v>
      </c>
      <c r="C21" s="7">
        <f>SUM(C16:C20)</f>
        <v>6.379634788534953E-3</v>
      </c>
      <c r="D21" s="14">
        <f t="shared" si="3"/>
        <v>7866832.5412190938</v>
      </c>
      <c r="E21" s="7">
        <f>SUM(E16:E20)</f>
        <v>4.2777051107028979E-3</v>
      </c>
      <c r="F21" s="10">
        <f t="shared" si="4"/>
        <v>25590.258621451303</v>
      </c>
      <c r="G21" s="10"/>
      <c r="H21" s="13"/>
      <c r="I21" s="13"/>
      <c r="J21" s="13"/>
      <c r="K21" s="28"/>
    </row>
    <row r="22" spans="1:12">
      <c r="A22" s="72" t="s">
        <v>17</v>
      </c>
      <c r="B22" s="3" t="s">
        <v>18</v>
      </c>
      <c r="C22" s="4">
        <v>2.1694521116174075E-2</v>
      </c>
      <c r="D22" s="10">
        <f t="shared" si="3"/>
        <v>26751870.654037196</v>
      </c>
      <c r="E22" s="4">
        <v>7.2488667081017505E-2</v>
      </c>
      <c r="F22" s="10">
        <f t="shared" si="4"/>
        <v>433644.60375874618</v>
      </c>
      <c r="G22" s="10"/>
      <c r="H22" s="13">
        <v>40</v>
      </c>
      <c r="I22" s="13">
        <v>1000</v>
      </c>
      <c r="J22" s="13"/>
      <c r="K22" s="28">
        <f>+D22*H22+F22*I22</f>
        <v>1503719429.920234</v>
      </c>
    </row>
    <row r="23" spans="1:12">
      <c r="A23" s="72"/>
      <c r="B23" s="3" t="s">
        <v>19</v>
      </c>
      <c r="C23" s="4">
        <v>0.1652369033705034</v>
      </c>
      <c r="D23" s="10">
        <f t="shared" si="3"/>
        <v>203756342.09993136</v>
      </c>
      <c r="E23" s="4">
        <v>7.9061079551271007E-2</v>
      </c>
      <c r="F23" s="10">
        <f t="shared" si="4"/>
        <v>472962.35253479547</v>
      </c>
      <c r="G23" s="10"/>
      <c r="H23" s="13">
        <v>47</v>
      </c>
      <c r="I23" s="13">
        <v>1600</v>
      </c>
      <c r="J23" s="13"/>
      <c r="K23" s="28">
        <f>+D23*H23+F23*I23</f>
        <v>10333287842.752447</v>
      </c>
    </row>
    <row r="24" spans="1:12">
      <c r="A24" s="72"/>
      <c r="B24" s="1" t="s">
        <v>20</v>
      </c>
      <c r="C24" s="5">
        <f>SUM(C22:C23)</f>
        <v>0.18693142448667746</v>
      </c>
      <c r="D24" s="10">
        <f t="shared" si="3"/>
        <v>230508212.75396854</v>
      </c>
      <c r="E24" s="5">
        <f>SUM(E22:E23)</f>
        <v>0.15154974663228851</v>
      </c>
      <c r="F24" s="10">
        <f t="shared" si="4"/>
        <v>906606.95629354159</v>
      </c>
      <c r="G24" s="10"/>
      <c r="H24" s="13"/>
      <c r="I24" s="13"/>
      <c r="J24" s="13"/>
      <c r="K24" s="28"/>
    </row>
    <row r="25" spans="1:12" ht="7.9" customHeight="1">
      <c r="A25" s="72"/>
      <c r="B25" s="3"/>
      <c r="C25" s="4"/>
      <c r="D25" s="10"/>
      <c r="E25" s="10"/>
      <c r="F25" s="10"/>
      <c r="G25" s="10"/>
      <c r="H25" s="13"/>
      <c r="I25" s="13"/>
      <c r="J25" s="13"/>
      <c r="K25" s="28"/>
    </row>
    <row r="26" spans="1:12">
      <c r="A26" s="72"/>
      <c r="B26" s="3" t="s">
        <v>21</v>
      </c>
      <c r="C26" s="4">
        <v>8.1084170862314425E-2</v>
      </c>
      <c r="D26" s="10">
        <f>C26*$D$73</f>
        <v>99986224.143076494</v>
      </c>
      <c r="E26" s="10"/>
      <c r="F26" s="10">
        <f>E26*$F$73</f>
        <v>0</v>
      </c>
      <c r="G26" s="10"/>
      <c r="H26" s="13">
        <v>47</v>
      </c>
      <c r="I26" s="13"/>
      <c r="J26" s="13"/>
      <c r="K26" s="28">
        <f>+D26*H26</f>
        <v>4699352534.7245951</v>
      </c>
    </row>
    <row r="27" spans="1:12">
      <c r="A27" s="72"/>
      <c r="B27" s="3" t="s">
        <v>22</v>
      </c>
      <c r="C27" s="4">
        <v>2.1519953157815179E-2</v>
      </c>
      <c r="D27" s="10">
        <f>C27*$D$73</f>
        <v>26536608.034625195</v>
      </c>
      <c r="E27" s="10"/>
      <c r="F27" s="10">
        <f>E27*$F$73</f>
        <v>0</v>
      </c>
      <c r="G27" s="10"/>
      <c r="H27" s="13">
        <v>55</v>
      </c>
      <c r="I27" s="13"/>
      <c r="J27" s="13"/>
      <c r="K27" s="28">
        <f t="shared" ref="K27:K28" si="7">+D27*H27</f>
        <v>1459513441.9043858</v>
      </c>
    </row>
    <row r="28" spans="1:12">
      <c r="A28" s="72"/>
      <c r="B28" s="3" t="s">
        <v>23</v>
      </c>
      <c r="C28" s="4">
        <v>2.2176891405672056E-2</v>
      </c>
      <c r="D28" s="10">
        <f>C28*$D$73</f>
        <v>27346689.388357162</v>
      </c>
      <c r="E28" s="10"/>
      <c r="F28" s="10">
        <f>E28*$F$73</f>
        <v>0</v>
      </c>
      <c r="G28" s="10"/>
      <c r="H28" s="13">
        <v>39</v>
      </c>
      <c r="I28" s="13"/>
      <c r="J28" s="13"/>
      <c r="K28" s="28">
        <f t="shared" si="7"/>
        <v>1066520886.1459293</v>
      </c>
    </row>
    <row r="29" spans="1:12">
      <c r="A29" s="72"/>
      <c r="B29" s="1" t="s">
        <v>24</v>
      </c>
      <c r="C29" s="5">
        <f>SUM(C26:C28)</f>
        <v>0.12478101542580167</v>
      </c>
      <c r="D29" s="10">
        <f>C29*$D$73</f>
        <v>153869521.56605884</v>
      </c>
      <c r="E29" s="4">
        <v>2.2745935450066211E-3</v>
      </c>
      <c r="F29" s="10">
        <f>E29*$F$73</f>
        <v>13607.16448868041</v>
      </c>
      <c r="G29" s="26">
        <v>770758.21212121216</v>
      </c>
      <c r="H29" s="13"/>
      <c r="I29" s="13">
        <v>5000</v>
      </c>
      <c r="J29" s="13">
        <v>1600</v>
      </c>
      <c r="K29" s="28">
        <f>+F29*I29+G29*J29</f>
        <v>1301248961.8373415</v>
      </c>
      <c r="L29" s="27" t="s">
        <v>78</v>
      </c>
    </row>
    <row r="30" spans="1:12" ht="7.9" customHeight="1">
      <c r="A30" s="72"/>
      <c r="B30" s="3"/>
      <c r="C30" s="4"/>
      <c r="D30" s="10"/>
      <c r="E30" s="4"/>
      <c r="F30" s="10"/>
      <c r="G30" s="10"/>
      <c r="H30" s="13"/>
      <c r="I30" s="13"/>
      <c r="J30" s="13"/>
      <c r="K30" s="28"/>
    </row>
    <row r="31" spans="1:12">
      <c r="A31" s="72"/>
      <c r="B31" s="3" t="s">
        <v>25</v>
      </c>
      <c r="C31" s="4">
        <v>2.988370333716496E-3</v>
      </c>
      <c r="D31" s="10">
        <f t="shared" ref="D31:D38" si="8">C31*$D$73</f>
        <v>3685008.5883824402</v>
      </c>
      <c r="E31" s="4"/>
      <c r="F31" s="10">
        <f>E31*$F$73</f>
        <v>0</v>
      </c>
      <c r="G31" s="10"/>
      <c r="H31" s="13">
        <v>46</v>
      </c>
      <c r="I31" s="13"/>
      <c r="J31" s="13"/>
      <c r="K31" s="28">
        <f t="shared" ref="K31:K33" si="9">+D31*H31</f>
        <v>169510395.06559226</v>
      </c>
    </row>
    <row r="32" spans="1:12">
      <c r="A32" s="72"/>
      <c r="B32" s="3" t="s">
        <v>26</v>
      </c>
      <c r="C32" s="4">
        <v>8.8005754528591848E-4</v>
      </c>
      <c r="D32" s="10">
        <f t="shared" si="8"/>
        <v>1085213.4275527312</v>
      </c>
      <c r="E32" s="4"/>
      <c r="F32" s="10">
        <f>E32*$F$73</f>
        <v>0</v>
      </c>
      <c r="G32" s="10"/>
      <c r="H32" s="13">
        <v>54</v>
      </c>
      <c r="I32" s="13"/>
      <c r="J32" s="13"/>
      <c r="K32" s="28">
        <f t="shared" si="9"/>
        <v>58601525.087847486</v>
      </c>
    </row>
    <row r="33" spans="1:12">
      <c r="A33" s="72"/>
      <c r="B33" s="3" t="s">
        <v>27</v>
      </c>
      <c r="C33" s="4">
        <v>5.9716444039037897E-4</v>
      </c>
      <c r="D33" s="10">
        <f t="shared" si="8"/>
        <v>736373.28904226271</v>
      </c>
      <c r="E33" s="4"/>
      <c r="F33" s="10">
        <f>E33*$F$73</f>
        <v>0</v>
      </c>
      <c r="G33" s="18"/>
      <c r="H33" s="21">
        <v>38</v>
      </c>
      <c r="I33" s="21"/>
      <c r="J33" s="21"/>
      <c r="K33" s="28">
        <f t="shared" si="9"/>
        <v>27982184.983605985</v>
      </c>
    </row>
    <row r="34" spans="1:12">
      <c r="A34" s="72"/>
      <c r="B34" s="1" t="s">
        <v>28</v>
      </c>
      <c r="C34" s="5">
        <f>SUM(C31:C33)</f>
        <v>4.4655923193927935E-3</v>
      </c>
      <c r="D34" s="10">
        <f t="shared" si="8"/>
        <v>5506595.3049774338</v>
      </c>
      <c r="E34" s="4">
        <v>1.0181597923952834E-5</v>
      </c>
      <c r="F34" s="10">
        <f>E34*$F$73</f>
        <v>60.908762364587602</v>
      </c>
      <c r="G34" s="26">
        <v>23565.510101010099</v>
      </c>
      <c r="H34" s="13"/>
      <c r="I34" s="13">
        <v>5000</v>
      </c>
      <c r="J34" s="13">
        <v>1500</v>
      </c>
      <c r="K34" s="28">
        <f>+F34*I34+G34*J34</f>
        <v>35652808.963338085</v>
      </c>
    </row>
    <row r="35" spans="1:12">
      <c r="A35" s="72"/>
      <c r="B35" s="6" t="s">
        <v>29</v>
      </c>
      <c r="C35" s="7">
        <f>+C24+C29+C34</f>
        <v>0.31617803223187191</v>
      </c>
      <c r="D35" s="14">
        <f t="shared" si="8"/>
        <v>389884329.62500483</v>
      </c>
      <c r="E35" s="7">
        <f>+E24+E29+E34</f>
        <v>0.15383452177521909</v>
      </c>
      <c r="F35" s="10">
        <f>E35*$F$73</f>
        <v>920275.02954458666</v>
      </c>
      <c r="G35" s="10"/>
      <c r="H35" s="13"/>
      <c r="I35" s="13"/>
      <c r="J35" s="13"/>
      <c r="K35" s="28"/>
    </row>
    <row r="36" spans="1:12">
      <c r="A36" s="25"/>
      <c r="B36" s="1"/>
      <c r="C36" s="31"/>
      <c r="D36" s="32"/>
      <c r="E36" s="31"/>
      <c r="F36" s="10"/>
      <c r="G36" s="10"/>
      <c r="H36" s="13"/>
      <c r="I36" s="13"/>
      <c r="J36" s="13"/>
      <c r="K36" s="28"/>
    </row>
    <row r="37" spans="1:12" ht="57">
      <c r="A37" s="70" t="s">
        <v>0</v>
      </c>
      <c r="B37" s="70"/>
      <c r="C37" s="16" t="s">
        <v>67</v>
      </c>
      <c r="D37" s="17" t="s">
        <v>66</v>
      </c>
      <c r="E37" s="17" t="s">
        <v>71</v>
      </c>
      <c r="F37" s="16" t="s">
        <v>68</v>
      </c>
      <c r="G37" s="16" t="s">
        <v>77</v>
      </c>
      <c r="H37" s="19" t="s">
        <v>65</v>
      </c>
      <c r="I37" s="20" t="s">
        <v>69</v>
      </c>
      <c r="J37" s="20" t="s">
        <v>74</v>
      </c>
      <c r="K37" s="29" t="s">
        <v>70</v>
      </c>
    </row>
    <row r="38" spans="1:12">
      <c r="A38" s="66" t="s">
        <v>30</v>
      </c>
      <c r="B38" s="3" t="s">
        <v>31</v>
      </c>
      <c r="C38" s="4">
        <v>6.8085081233872308E-4</v>
      </c>
      <c r="D38" s="10">
        <f t="shared" si="8"/>
        <v>839568.33012563852</v>
      </c>
      <c r="E38" s="4">
        <v>6.8330156117031929E-4</v>
      </c>
      <c r="F38" s="10">
        <f>E38*$F$73</f>
        <v>4087.673931295531</v>
      </c>
      <c r="G38" s="10"/>
      <c r="H38" s="13">
        <v>47</v>
      </c>
      <c r="I38" s="13">
        <v>1600</v>
      </c>
      <c r="J38" s="13"/>
      <c r="K38" s="28">
        <f>+D38*H38+F38*I38</f>
        <v>45999989.805977859</v>
      </c>
    </row>
    <row r="39" spans="1:12" ht="7.9" customHeight="1">
      <c r="A39" s="66"/>
      <c r="B39" s="3"/>
      <c r="C39" s="4"/>
      <c r="D39" s="10"/>
      <c r="E39" s="10"/>
      <c r="F39" s="10"/>
      <c r="G39" s="10"/>
      <c r="H39" s="13"/>
      <c r="I39" s="13"/>
      <c r="J39" s="13"/>
      <c r="K39" s="28"/>
    </row>
    <row r="40" spans="1:12">
      <c r="A40" s="66"/>
      <c r="B40" s="3" t="s">
        <v>32</v>
      </c>
      <c r="C40" s="4">
        <v>9.0268562046623996E-3</v>
      </c>
      <c r="D40" s="10">
        <f t="shared" ref="D40:D45" si="10">C40*$D$73</f>
        <v>11131164.790712312</v>
      </c>
      <c r="E40" s="4">
        <v>7.1827596425898621E-5</v>
      </c>
      <c r="F40" s="10">
        <f t="shared" ref="F40:F45" si="11">E40*$F$73</f>
        <v>429.68992044286779</v>
      </c>
      <c r="G40" s="26">
        <v>51932.974747474735</v>
      </c>
      <c r="H40" s="22">
        <v>47</v>
      </c>
      <c r="I40" s="13">
        <v>5000</v>
      </c>
      <c r="J40" s="13">
        <v>1600</v>
      </c>
      <c r="K40" s="28">
        <f>+D40*H40+F40*I40+G40*J40</f>
        <v>608405954.36165261</v>
      </c>
      <c r="L40" s="23" t="s">
        <v>75</v>
      </c>
    </row>
    <row r="41" spans="1:12">
      <c r="A41" s="66"/>
      <c r="B41" s="3" t="s">
        <v>33</v>
      </c>
      <c r="C41" s="4">
        <v>0</v>
      </c>
      <c r="D41" s="10">
        <f t="shared" si="10"/>
        <v>0</v>
      </c>
      <c r="E41" s="4">
        <v>0</v>
      </c>
      <c r="F41" s="10">
        <f t="shared" si="11"/>
        <v>0</v>
      </c>
      <c r="G41" s="10"/>
      <c r="H41" s="22">
        <v>46</v>
      </c>
      <c r="I41" s="13">
        <v>5000</v>
      </c>
      <c r="J41" s="13">
        <v>1500</v>
      </c>
      <c r="K41" s="28">
        <f>+D41*H41+F41*I41+G41*J41</f>
        <v>0</v>
      </c>
      <c r="L41" s="23" t="s">
        <v>75</v>
      </c>
    </row>
    <row r="42" spans="1:12">
      <c r="A42" s="66"/>
      <c r="B42" s="6" t="s">
        <v>34</v>
      </c>
      <c r="C42" s="7">
        <f>SUM(C38:C41)</f>
        <v>9.7077070170011222E-3</v>
      </c>
      <c r="D42" s="14">
        <f t="shared" si="10"/>
        <v>11970733.120837949</v>
      </c>
      <c r="E42" s="7">
        <f>SUM(E38:E41)</f>
        <v>7.5512915759621787E-4</v>
      </c>
      <c r="F42" s="10">
        <f t="shared" si="11"/>
        <v>4517.3638517383988</v>
      </c>
      <c r="G42" s="10"/>
      <c r="H42" s="13"/>
      <c r="I42" s="13"/>
      <c r="J42" s="13"/>
      <c r="K42" s="28"/>
      <c r="L42" s="27" t="s">
        <v>78</v>
      </c>
    </row>
    <row r="43" spans="1:12">
      <c r="A43" s="66" t="s">
        <v>35</v>
      </c>
      <c r="B43" s="3" t="s">
        <v>36</v>
      </c>
      <c r="C43" s="4">
        <v>9.1303720740420872E-4</v>
      </c>
      <c r="D43" s="10">
        <f t="shared" si="10"/>
        <v>1125881.1911082303</v>
      </c>
      <c r="E43" s="4">
        <v>1.903499551940642E-3</v>
      </c>
      <c r="F43" s="10">
        <f t="shared" si="11"/>
        <v>11387.191159601385</v>
      </c>
      <c r="G43" s="10"/>
      <c r="H43" s="13">
        <v>26</v>
      </c>
      <c r="I43" s="13">
        <v>1200</v>
      </c>
      <c r="J43" s="13"/>
      <c r="K43" s="28">
        <f t="shared" ref="K43" si="12">+D43*H43+F43*I43</f>
        <v>42937540.360335648</v>
      </c>
    </row>
    <row r="44" spans="1:12">
      <c r="A44" s="66"/>
      <c r="B44" s="3" t="s">
        <v>37</v>
      </c>
      <c r="C44" s="4">
        <v>1.5614450955463478E-2</v>
      </c>
      <c r="D44" s="10">
        <f t="shared" si="10"/>
        <v>19254436.180337891</v>
      </c>
      <c r="E44" s="4">
        <v>2.0163040454288274E-3</v>
      </c>
      <c r="F44" s="10">
        <f t="shared" si="11"/>
        <v>12062.014712726148</v>
      </c>
      <c r="G44" s="10"/>
      <c r="H44" s="13">
        <v>26</v>
      </c>
      <c r="I44" s="13">
        <v>1600</v>
      </c>
      <c r="J44" s="13"/>
      <c r="K44" s="28">
        <f>+D44*H44+F44*I44</f>
        <v>519914564.22914702</v>
      </c>
    </row>
    <row r="45" spans="1:12">
      <c r="A45" s="66"/>
      <c r="B45" s="1" t="s">
        <v>38</v>
      </c>
      <c r="C45" s="5">
        <f>SUM(C43:C44)</f>
        <v>1.6527488162867688E-2</v>
      </c>
      <c r="D45" s="10">
        <f t="shared" si="10"/>
        <v>20380317.371446121</v>
      </c>
      <c r="E45" s="5">
        <f>SUM(E43:E44)</f>
        <v>3.9198035973694693E-3</v>
      </c>
      <c r="F45" s="10">
        <f t="shared" si="11"/>
        <v>23449.205872327533</v>
      </c>
      <c r="G45" s="10"/>
      <c r="H45" s="13"/>
      <c r="I45" s="13"/>
      <c r="J45" s="13"/>
      <c r="K45" s="28"/>
    </row>
    <row r="46" spans="1:12" ht="7.9" customHeight="1">
      <c r="A46" s="66"/>
      <c r="B46" s="3"/>
      <c r="C46" s="4"/>
      <c r="D46" s="10"/>
      <c r="E46" s="10"/>
      <c r="F46" s="10"/>
      <c r="G46" s="10"/>
      <c r="H46" s="13"/>
      <c r="I46" s="13"/>
      <c r="J46" s="13"/>
      <c r="K46" s="28"/>
    </row>
    <row r="47" spans="1:12">
      <c r="A47" s="66"/>
      <c r="B47" s="3" t="s">
        <v>39</v>
      </c>
      <c r="C47" s="4">
        <v>8.8497425117339878E-2</v>
      </c>
      <c r="D47" s="10">
        <f>C47*$D$73</f>
        <v>109127629.84149857</v>
      </c>
      <c r="E47" s="10"/>
      <c r="F47" s="10">
        <f>E47*$F$73</f>
        <v>0</v>
      </c>
      <c r="G47" s="10"/>
      <c r="H47" s="13">
        <v>37</v>
      </c>
      <c r="I47" s="13"/>
      <c r="J47" s="13"/>
      <c r="K47" s="28">
        <f t="shared" ref="K47:K49" si="13">+D47*H47</f>
        <v>4037722304.135447</v>
      </c>
    </row>
    <row r="48" spans="1:12">
      <c r="A48" s="66"/>
      <c r="B48" s="3" t="s">
        <v>40</v>
      </c>
      <c r="C48" s="4">
        <v>1.8511263260483236E-2</v>
      </c>
      <c r="D48" s="10">
        <f>C48*$D$73</f>
        <v>22826543.058287658</v>
      </c>
      <c r="E48" s="10"/>
      <c r="F48" s="10">
        <f>E48*$F$73</f>
        <v>0</v>
      </c>
      <c r="G48" s="10"/>
      <c r="H48" s="13">
        <v>40</v>
      </c>
      <c r="I48" s="13"/>
      <c r="J48" s="13"/>
      <c r="K48" s="28">
        <f t="shared" si="13"/>
        <v>913061722.33150625</v>
      </c>
    </row>
    <row r="49" spans="1:12">
      <c r="A49" s="66"/>
      <c r="B49" s="3" t="s">
        <v>41</v>
      </c>
      <c r="C49" s="4">
        <v>2.6626220605934496E-2</v>
      </c>
      <c r="D49" s="10">
        <f>C49*$D$73</f>
        <v>32833230.373763464</v>
      </c>
      <c r="E49" s="10"/>
      <c r="F49" s="10">
        <f>E49*$F$73</f>
        <v>0</v>
      </c>
      <c r="G49" s="10"/>
      <c r="H49" s="13">
        <v>34</v>
      </c>
      <c r="I49" s="13"/>
      <c r="J49" s="13"/>
      <c r="K49" s="28">
        <f t="shared" si="13"/>
        <v>1116329832.7079577</v>
      </c>
    </row>
    <row r="50" spans="1:12">
      <c r="A50" s="66"/>
      <c r="B50" s="1" t="s">
        <v>42</v>
      </c>
      <c r="C50" s="5">
        <f>SUM(C47:C49)</f>
        <v>0.1336349089837576</v>
      </c>
      <c r="D50" s="10">
        <f>C50*$D$73</f>
        <v>164787403.27354968</v>
      </c>
      <c r="E50" s="4">
        <v>9.2290592969486603E-4</v>
      </c>
      <c r="F50" s="10">
        <f>E50*$F$73</f>
        <v>5521.0447688578151</v>
      </c>
      <c r="G50" s="26">
        <v>733889.74242424231</v>
      </c>
      <c r="H50" s="13"/>
      <c r="I50" s="13">
        <v>5000</v>
      </c>
      <c r="J50" s="13">
        <v>1600</v>
      </c>
      <c r="K50" s="28">
        <f>+F50*I50+G50*J50</f>
        <v>1201828811.7230768</v>
      </c>
    </row>
    <row r="51" spans="1:12" ht="7.9" customHeight="1">
      <c r="A51" s="66"/>
      <c r="B51" s="3"/>
      <c r="C51" s="4"/>
      <c r="D51" s="10"/>
      <c r="E51" s="4"/>
      <c r="F51" s="10"/>
      <c r="G51" s="10"/>
      <c r="H51" s="13"/>
      <c r="I51" s="13"/>
      <c r="J51" s="13"/>
      <c r="K51" s="28"/>
    </row>
    <row r="52" spans="1:12">
      <c r="A52" s="66"/>
      <c r="B52" s="3" t="s">
        <v>43</v>
      </c>
      <c r="C52" s="4">
        <v>2.3025071803750966E-2</v>
      </c>
      <c r="D52" s="10">
        <f t="shared" ref="D52:D57" si="14">C52*$D$73</f>
        <v>28392594.581617236</v>
      </c>
      <c r="E52" s="4"/>
      <c r="F52" s="10">
        <f t="shared" ref="F52:F57" si="15">E52*$F$73</f>
        <v>0</v>
      </c>
      <c r="G52" s="10"/>
      <c r="H52" s="13">
        <v>36.5</v>
      </c>
      <c r="I52" s="13"/>
      <c r="J52" s="13"/>
      <c r="K52" s="28">
        <f t="shared" ref="K52:K54" si="16">+D52*H52</f>
        <v>1036329702.2290292</v>
      </c>
    </row>
    <row r="53" spans="1:12">
      <c r="A53" s="66"/>
      <c r="B53" s="3" t="s">
        <v>44</v>
      </c>
      <c r="C53" s="4">
        <v>9.4214461082130288E-3</v>
      </c>
      <c r="D53" s="10">
        <f t="shared" si="14"/>
        <v>11617740.087979672</v>
      </c>
      <c r="E53" s="4"/>
      <c r="F53" s="10">
        <f t="shared" si="15"/>
        <v>0</v>
      </c>
      <c r="G53" s="10"/>
      <c r="H53" s="13">
        <v>39.5</v>
      </c>
      <c r="I53" s="13"/>
      <c r="J53" s="13"/>
      <c r="K53" s="28">
        <f t="shared" si="16"/>
        <v>458900733.47519708</v>
      </c>
    </row>
    <row r="54" spans="1:12">
      <c r="A54" s="66"/>
      <c r="B54" s="3" t="s">
        <v>45</v>
      </c>
      <c r="C54" s="4">
        <v>5.8158632487462633E-3</v>
      </c>
      <c r="D54" s="10">
        <f t="shared" si="14"/>
        <v>7171636.5868999986</v>
      </c>
      <c r="E54" s="4"/>
      <c r="F54" s="10">
        <f t="shared" si="15"/>
        <v>0</v>
      </c>
      <c r="G54" s="10"/>
      <c r="H54" s="13">
        <v>33.5</v>
      </c>
      <c r="I54" s="13"/>
      <c r="J54" s="13"/>
      <c r="K54" s="28">
        <f t="shared" si="16"/>
        <v>240249825.66114995</v>
      </c>
    </row>
    <row r="55" spans="1:12">
      <c r="A55" s="66"/>
      <c r="B55" s="1" t="s">
        <v>46</v>
      </c>
      <c r="C55" s="5">
        <f>SUM(C52:C54)</f>
        <v>3.8262381160710263E-2</v>
      </c>
      <c r="D55" s="10">
        <f t="shared" si="14"/>
        <v>47181971.256496914</v>
      </c>
      <c r="E55" s="4">
        <v>3.029027389630507E-5</v>
      </c>
      <c r="F55" s="10">
        <f t="shared" si="15"/>
        <v>181.20368811343204</v>
      </c>
      <c r="G55" s="26">
        <v>185889.87878787881</v>
      </c>
      <c r="H55" s="13"/>
      <c r="I55" s="13">
        <v>5000</v>
      </c>
      <c r="J55" s="13">
        <v>1500</v>
      </c>
      <c r="K55" s="28">
        <f>+F55*I55+G55*J55</f>
        <v>279740836.62238538</v>
      </c>
    </row>
    <row r="56" spans="1:12">
      <c r="A56" s="66"/>
      <c r="B56" s="6" t="s">
        <v>47</v>
      </c>
      <c r="C56" s="7">
        <f>C45+C50+C55</f>
        <v>0.18842477830733556</v>
      </c>
      <c r="D56" s="14">
        <f t="shared" si="14"/>
        <v>232349691.90149271</v>
      </c>
      <c r="E56" s="7">
        <f>E45+E50+E55</f>
        <v>4.8729998009606409E-3</v>
      </c>
      <c r="F56" s="10">
        <f t="shared" si="15"/>
        <v>29151.454329298784</v>
      </c>
      <c r="G56" s="10"/>
      <c r="H56" s="13"/>
      <c r="I56" s="13"/>
      <c r="J56" s="13"/>
      <c r="K56" s="28"/>
    </row>
    <row r="57" spans="1:12">
      <c r="A57" s="66" t="s">
        <v>48</v>
      </c>
      <c r="B57" s="3" t="s">
        <v>49</v>
      </c>
      <c r="C57" s="4">
        <v>2.9050410533096587E-5</v>
      </c>
      <c r="D57" s="10">
        <f t="shared" si="14"/>
        <v>35822.538827496086</v>
      </c>
      <c r="E57" s="4">
        <v>2.7957041220096021E-6</v>
      </c>
      <c r="F57" s="10">
        <f t="shared" si="15"/>
        <v>16.72457302685072</v>
      </c>
      <c r="G57" s="10"/>
      <c r="H57" s="22">
        <v>47</v>
      </c>
      <c r="I57" s="22">
        <v>1600</v>
      </c>
      <c r="J57" s="13"/>
      <c r="K57" s="28">
        <f>+D57*H57+F57*I57</f>
        <v>1710418.6417352771</v>
      </c>
      <c r="L57" s="23" t="s">
        <v>76</v>
      </c>
    </row>
    <row r="58" spans="1:12" ht="7.9" customHeight="1">
      <c r="A58" s="66"/>
      <c r="B58" s="3"/>
      <c r="C58" s="4"/>
      <c r="D58" s="10"/>
      <c r="E58" s="4"/>
      <c r="F58" s="10"/>
      <c r="G58" s="10"/>
      <c r="H58" s="13"/>
      <c r="I58" s="13"/>
      <c r="J58" s="13"/>
      <c r="K58" s="28"/>
    </row>
    <row r="59" spans="1:12">
      <c r="A59" s="66"/>
      <c r="B59" s="3" t="s">
        <v>50</v>
      </c>
      <c r="C59" s="4">
        <v>1.7871221050520639E-2</v>
      </c>
      <c r="D59" s="10">
        <f>C59*$D$73</f>
        <v>22037296.486660033</v>
      </c>
      <c r="E59" s="4"/>
      <c r="F59" s="10">
        <f>E59*$F$73</f>
        <v>0</v>
      </c>
      <c r="G59" s="10"/>
      <c r="H59" s="13">
        <v>47</v>
      </c>
      <c r="I59" s="13"/>
      <c r="J59" s="13"/>
      <c r="K59" s="28">
        <f t="shared" ref="K59:K61" si="17">+D59*H59</f>
        <v>1035752934.8730216</v>
      </c>
    </row>
    <row r="60" spans="1:12">
      <c r="A60" s="66"/>
      <c r="B60" s="3" t="s">
        <v>51</v>
      </c>
      <c r="C60" s="4">
        <v>5.4758423092057997E-3</v>
      </c>
      <c r="D60" s="10">
        <f>C60*$D$73</f>
        <v>6752351.1762868492</v>
      </c>
      <c r="E60" s="4"/>
      <c r="F60" s="10">
        <f>E60*$F$73</f>
        <v>0</v>
      </c>
      <c r="G60" s="10"/>
      <c r="H60" s="13">
        <v>55</v>
      </c>
      <c r="I60" s="13"/>
      <c r="J60" s="13"/>
      <c r="K60" s="28">
        <f t="shared" si="17"/>
        <v>371379314.6957767</v>
      </c>
    </row>
    <row r="61" spans="1:12">
      <c r="A61" s="66"/>
      <c r="B61" s="3" t="s">
        <v>52</v>
      </c>
      <c r="C61" s="4">
        <v>6.2231110180594655E-4</v>
      </c>
      <c r="D61" s="10">
        <f>C61*$D$73</f>
        <v>767382.0506539027</v>
      </c>
      <c r="E61" s="4"/>
      <c r="F61" s="10">
        <f>E61*$F$73</f>
        <v>0</v>
      </c>
      <c r="G61" s="10"/>
      <c r="H61" s="13">
        <v>39</v>
      </c>
      <c r="I61" s="13"/>
      <c r="J61" s="13"/>
      <c r="K61" s="28">
        <f t="shared" si="17"/>
        <v>29927899.975502204</v>
      </c>
    </row>
    <row r="62" spans="1:12">
      <c r="A62" s="66"/>
      <c r="B62" s="1" t="s">
        <v>53</v>
      </c>
      <c r="C62" s="5">
        <f>SUM(C59:C61)</f>
        <v>2.3969374461532383E-2</v>
      </c>
      <c r="D62" s="10">
        <f>C62*$D$73</f>
        <v>29557029.713600785</v>
      </c>
      <c r="E62" s="4">
        <v>1.2760357975380299E-4</v>
      </c>
      <c r="F62" s="10">
        <f>E62*$F$73</f>
        <v>763.35523894639039</v>
      </c>
      <c r="G62" s="26">
        <v>98812.080808080806</v>
      </c>
      <c r="H62" s="13"/>
      <c r="I62" s="13">
        <v>5000</v>
      </c>
      <c r="J62" s="13">
        <v>1600</v>
      </c>
      <c r="K62" s="28">
        <f>+F62*I62+G62*J62</f>
        <v>161916105.48766124</v>
      </c>
    </row>
    <row r="63" spans="1:12" ht="7.9" customHeight="1">
      <c r="A63" s="66"/>
      <c r="B63" s="3"/>
      <c r="C63" s="4"/>
      <c r="D63" s="10"/>
      <c r="E63" s="4"/>
      <c r="F63" s="10"/>
      <c r="G63" s="10"/>
      <c r="H63" s="13"/>
      <c r="I63" s="13"/>
      <c r="J63" s="13"/>
      <c r="K63" s="28"/>
    </row>
    <row r="64" spans="1:12">
      <c r="A64" s="66"/>
      <c r="B64" s="3" t="s">
        <v>54</v>
      </c>
      <c r="C64" s="4">
        <v>2.6884917980997541E-3</v>
      </c>
      <c r="D64" s="10">
        <f t="shared" ref="D64:D70" si="18">C64*$D$73</f>
        <v>3315223.4360031034</v>
      </c>
      <c r="E64" s="4"/>
      <c r="F64" s="10">
        <f t="shared" ref="F64:F72" si="19">E64*$F$73</f>
        <v>0</v>
      </c>
      <c r="G64" s="10"/>
      <c r="H64" s="13">
        <v>46</v>
      </c>
      <c r="I64" s="13"/>
      <c r="J64" s="13"/>
      <c r="K64" s="28">
        <f t="shared" ref="K64:K66" si="20">+D64*H64</f>
        <v>152500278.05614275</v>
      </c>
    </row>
    <row r="65" spans="1:11">
      <c r="A65" s="66"/>
      <c r="B65" s="3" t="s">
        <v>55</v>
      </c>
      <c r="C65" s="4">
        <v>8.2582660189203739E-4</v>
      </c>
      <c r="D65" s="10">
        <f t="shared" si="18"/>
        <v>1018340.3596776394</v>
      </c>
      <c r="E65" s="4"/>
      <c r="F65" s="10">
        <f t="shared" si="19"/>
        <v>0</v>
      </c>
      <c r="G65" s="10"/>
      <c r="H65" s="13">
        <v>54</v>
      </c>
      <c r="I65" s="13"/>
      <c r="J65" s="13"/>
      <c r="K65" s="28">
        <f t="shared" si="20"/>
        <v>54990379.422592528</v>
      </c>
    </row>
    <row r="66" spans="1:11">
      <c r="A66" s="66"/>
      <c r="B66" s="3" t="s">
        <v>56</v>
      </c>
      <c r="C66" s="4">
        <v>1.3318087349629565E-3</v>
      </c>
      <c r="D66" s="10">
        <f t="shared" si="18"/>
        <v>1642275.2464945461</v>
      </c>
      <c r="E66" s="4"/>
      <c r="F66" s="10">
        <f t="shared" si="19"/>
        <v>0</v>
      </c>
      <c r="G66" s="10"/>
      <c r="H66" s="21">
        <v>38</v>
      </c>
      <c r="I66" s="21"/>
      <c r="J66" s="21"/>
      <c r="K66" s="28">
        <f t="shared" si="20"/>
        <v>62406459.366792753</v>
      </c>
    </row>
    <row r="67" spans="1:11">
      <c r="A67" s="66"/>
      <c r="B67" s="1" t="s">
        <v>57</v>
      </c>
      <c r="C67" s="5">
        <f>SUM(C64:C66)</f>
        <v>4.8461271349547483E-3</v>
      </c>
      <c r="D67" s="10">
        <f t="shared" si="18"/>
        <v>5975839.0421752892</v>
      </c>
      <c r="E67" s="4">
        <v>3.7720327298107732E-6</v>
      </c>
      <c r="F67" s="10">
        <f t="shared" si="19"/>
        <v>22.565205077583201</v>
      </c>
      <c r="G67" s="26">
        <v>14054.818181818182</v>
      </c>
      <c r="H67" s="13"/>
      <c r="I67" s="13">
        <v>5000</v>
      </c>
      <c r="J67" s="13">
        <v>1500</v>
      </c>
      <c r="K67" s="28">
        <f>+F67*I67+G67*J67</f>
        <v>21195053.29811519</v>
      </c>
    </row>
    <row r="68" spans="1:11">
      <c r="A68" s="66"/>
      <c r="B68" s="6" t="s">
        <v>58</v>
      </c>
      <c r="C68" s="7">
        <f>+C57+C62+C67</f>
        <v>2.8844552007020227E-2</v>
      </c>
      <c r="D68" s="14">
        <f t="shared" si="18"/>
        <v>35568691.294603564</v>
      </c>
      <c r="E68" s="7">
        <f>+E57+E62+E67</f>
        <v>1.3417131660562338E-4</v>
      </c>
      <c r="F68" s="10">
        <f t="shared" si="19"/>
        <v>802.64501705082444</v>
      </c>
      <c r="G68" s="10"/>
      <c r="H68" s="13"/>
      <c r="I68" s="13"/>
      <c r="J68" s="13"/>
      <c r="K68" s="28"/>
    </row>
    <row r="69" spans="1:11">
      <c r="A69" s="66" t="s">
        <v>59</v>
      </c>
      <c r="B69" s="3" t="s">
        <v>60</v>
      </c>
      <c r="C69" s="4">
        <v>1.4512290865942328E-4</v>
      </c>
      <c r="D69" s="10">
        <f t="shared" si="18"/>
        <v>178953.44454043466</v>
      </c>
      <c r="E69" s="4">
        <v>7.2066861166955167E-5</v>
      </c>
      <c r="F69" s="10">
        <f t="shared" si="19"/>
        <v>431.12125954740588</v>
      </c>
      <c r="G69" s="10"/>
      <c r="H69" s="13">
        <v>45</v>
      </c>
      <c r="I69" s="13"/>
      <c r="J69" s="13"/>
      <c r="K69" s="28">
        <f>+D69*H69</f>
        <v>8052905.0043195598</v>
      </c>
    </row>
    <row r="70" spans="1:11">
      <c r="A70" s="66"/>
      <c r="B70" s="3" t="s">
        <v>61</v>
      </c>
      <c r="C70" s="4">
        <v>1.3005843778627754E-2</v>
      </c>
      <c r="D70" s="10">
        <f t="shared" si="18"/>
        <v>16037719.784147194</v>
      </c>
      <c r="E70" s="4">
        <v>4.4207163762985634E-3</v>
      </c>
      <c r="F70" s="10">
        <f t="shared" si="19"/>
        <v>26445.786334948316</v>
      </c>
      <c r="G70" s="10"/>
      <c r="H70" s="13"/>
      <c r="I70" s="13"/>
      <c r="J70" s="13"/>
      <c r="K70" s="28"/>
    </row>
    <row r="71" spans="1:11">
      <c r="A71" s="66"/>
      <c r="B71" s="6" t="s">
        <v>62</v>
      </c>
      <c r="C71" s="7">
        <f>SUM(C69:C70)</f>
        <v>1.3150966687287177E-2</v>
      </c>
      <c r="D71" s="14">
        <f>C71*$D$73</f>
        <v>16216673.228687629</v>
      </c>
      <c r="E71" s="7">
        <f>SUM(E69:E70)</f>
        <v>4.4927832374655188E-3</v>
      </c>
      <c r="F71" s="10">
        <f t="shared" si="19"/>
        <v>26876.907594495726</v>
      </c>
      <c r="G71" s="10"/>
      <c r="H71" s="13"/>
      <c r="I71" s="13"/>
      <c r="J71" s="13"/>
      <c r="K71" s="28"/>
    </row>
    <row r="72" spans="1:11">
      <c r="A72" s="24" t="s">
        <v>72</v>
      </c>
      <c r="B72" s="6" t="s">
        <v>73</v>
      </c>
      <c r="C72" s="7">
        <v>0</v>
      </c>
      <c r="D72" s="14">
        <v>0</v>
      </c>
      <c r="E72" s="7">
        <v>3.9231626174053215E-2</v>
      </c>
      <c r="F72" s="10">
        <f t="shared" si="19"/>
        <v>234693.0033634681</v>
      </c>
      <c r="G72" s="10"/>
      <c r="H72" s="13"/>
      <c r="I72" s="13"/>
      <c r="J72" s="13"/>
      <c r="K72" s="28"/>
    </row>
    <row r="73" spans="1:11">
      <c r="A73" s="73" t="s">
        <v>63</v>
      </c>
      <c r="B73" s="73"/>
      <c r="C73" s="8">
        <f>+C71+C68+C56+C42+C35+C21+C15+C72</f>
        <v>1</v>
      </c>
      <c r="D73" s="11">
        <v>1233116440.3575001</v>
      </c>
      <c r="E73" s="8">
        <f>+E71+E68+E56+E42+E35+E21+E15+E72</f>
        <v>0.99999999999999989</v>
      </c>
      <c r="F73" s="11">
        <v>5982240</v>
      </c>
      <c r="G73" s="11"/>
      <c r="H73" s="11"/>
      <c r="I73" s="11"/>
      <c r="J73" s="11"/>
      <c r="K73" s="11">
        <f>SUM(K3:K72)</f>
        <v>71171785264.258347</v>
      </c>
    </row>
    <row r="75" spans="1:11">
      <c r="F75" s="2">
        <f>+F73/10</f>
        <v>598224</v>
      </c>
    </row>
    <row r="77" spans="1:11">
      <c r="I77" s="33">
        <v>44927</v>
      </c>
      <c r="K77" s="30">
        <v>3937614105.4899998</v>
      </c>
    </row>
    <row r="78" spans="1:11">
      <c r="I78" s="33">
        <v>44958</v>
      </c>
      <c r="K78" s="30">
        <v>5342510354.25</v>
      </c>
    </row>
    <row r="79" spans="1:11">
      <c r="I79" s="9" t="s">
        <v>64</v>
      </c>
      <c r="K79" s="30">
        <v>71171785264.258301</v>
      </c>
    </row>
    <row r="80" spans="1:11">
      <c r="K80" s="34">
        <f>SUM(K77:K79)</f>
        <v>80451909723.998306</v>
      </c>
    </row>
    <row r="81" spans="11:11">
      <c r="K81" s="30">
        <v>80451909723.998306</v>
      </c>
    </row>
    <row r="82" spans="11:11">
      <c r="K82" s="35">
        <f>+K81/1000000000</f>
        <v>80.451909723998313</v>
      </c>
    </row>
  </sheetData>
  <mergeCells count="10">
    <mergeCell ref="A43:A56"/>
    <mergeCell ref="A57:A68"/>
    <mergeCell ref="A69:A71"/>
    <mergeCell ref="A73:B73"/>
    <mergeCell ref="A2:B2"/>
    <mergeCell ref="A3:A15"/>
    <mergeCell ref="A16:A21"/>
    <mergeCell ref="A22:A35"/>
    <mergeCell ref="A37:B37"/>
    <mergeCell ref="A38:A4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Sheet2 (2)</vt:lpstr>
      <vt:lpstr>Sheet2 (3)</vt:lpstr>
      <vt:lpstr>Sheet2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2023-05-26T08:55:05Z</dcterms:modified>
</cp:coreProperties>
</file>